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/Desktop/"/>
    </mc:Choice>
  </mc:AlternateContent>
  <xr:revisionPtr revIDLastSave="0" documentId="8_{DC146CEE-C339-A143-9861-838E5C561C4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Income Statement" sheetId="6" r:id="rId1"/>
    <sheet name="Variance" sheetId="13" state="hidden" r:id="rId2"/>
    <sheet name="Legal collecttions exp" sheetId="17" state="hidden" r:id="rId3"/>
    <sheet name=" Budget FYE 2015 &amp; Budget" sheetId="15" state="hidden" r:id="rId4"/>
    <sheet name="Environmental Reserve" sheetId="26" r:id="rId5"/>
    <sheet name="Dues Per Unit" sheetId="27" r:id="rId6"/>
    <sheet name="Capital Reserve" sheetId="29" state="hidden" r:id="rId7"/>
    <sheet name="Renovation Res Phs I" sheetId="7" state="hidden" r:id="rId8"/>
    <sheet name="Sheet2" sheetId="2" state="hidden" r:id="rId9"/>
    <sheet name="Sheet3" sheetId="3" state="hidden" r:id="rId10"/>
    <sheet name="Renovation Res Phs II (2)" sheetId="22" state="hidden" r:id="rId11"/>
    <sheet name="Prepaid Exp" sheetId="14" state="hidden" r:id="rId12"/>
    <sheet name="Cash Flow" sheetId="18" state="hidden" r:id="rId13"/>
    <sheet name="Snow Removal Dues" sheetId="30" r:id="rId14"/>
  </sheets>
  <externalReferences>
    <externalReference r:id="rId15"/>
  </externalReferences>
  <definedNames>
    <definedName name="\P" localSheetId="5">#REF!</definedName>
    <definedName name="\P" localSheetId="4">#REF!</definedName>
    <definedName name="\P">#REF!</definedName>
    <definedName name="COPIES" localSheetId="5">#REF!</definedName>
    <definedName name="COPIES" localSheetId="4">#REF!</definedName>
    <definedName name="COPIES">#REF!</definedName>
    <definedName name="COUNT" localSheetId="5">#REF!</definedName>
    <definedName name="COUNT" localSheetId="4">#REF!</definedName>
    <definedName name="COUNT">#REF!</definedName>
    <definedName name="END" localSheetId="5">#REF!</definedName>
    <definedName name="END" localSheetId="4">#REF!</definedName>
    <definedName name="END">#REF!</definedName>
    <definedName name="_xlnm.Print_Area" localSheetId="3">' Budget FYE 2015 &amp; Budget'!$A$1:$N$85</definedName>
    <definedName name="_xlnm.Print_Area" localSheetId="12">'Cash Flow'!$A$1:$AA$80</definedName>
    <definedName name="_xlnm.Print_Area" localSheetId="5">'Dues Per Unit'!$A$1:$J$36</definedName>
    <definedName name="_xlnm.Print_Area" localSheetId="4">'Environmental Reserve'!$A$2:$L$43</definedName>
    <definedName name="_xlnm.Print_Area" localSheetId="0">'Income Statement'!$A$1:$K$50</definedName>
    <definedName name="_xlnm.Print_Area" localSheetId="2">'Legal collecttions exp'!$A$1:$G$25</definedName>
    <definedName name="_xlnm.Print_Area" localSheetId="7">'Renovation Res Phs I'!$A$1:$AB$62</definedName>
    <definedName name="_xlnm.Print_Area" localSheetId="10">'Renovation Res Phs II (2)'!$A$2:$R$62</definedName>
    <definedName name="_xlnm.Print_Area" localSheetId="1">Variance!$A$1:$L$76</definedName>
    <definedName name="Print_Area_MI">#REF!</definedName>
    <definedName name="_xlnm.Print_Titles" localSheetId="3">' Budget FYE 2015 &amp; Budget'!$1:$7</definedName>
    <definedName name="_xlnm.Print_Titles" localSheetId="12">'Cash Flow'!$1:$4</definedName>
    <definedName name="_xlnm.Print_Titles" localSheetId="5">'Dues Per Unit'!$1:$7</definedName>
    <definedName name="_xlnm.Print_Titles" localSheetId="4">'Environmental Reserve'!$1:$8</definedName>
    <definedName name="_xlnm.Print_Titles" localSheetId="0">'Income Statement'!$1:$8</definedName>
    <definedName name="_xlnm.Print_Titles" localSheetId="1">Variance!$1:$6</definedName>
    <definedName name="PRINTED" localSheetId="5">#REF!</definedName>
    <definedName name="PRINTED" localSheetId="4">#REF!</definedName>
    <definedName name="PRINTED">#REF!</definedName>
    <definedName name="REDO" localSheetId="5">#REF!</definedName>
    <definedName name="REDO" localSheetId="4">#REF!</definedName>
    <definedName name="RE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6" l="1"/>
  <c r="K16" i="6"/>
  <c r="G16" i="6"/>
  <c r="I16" i="6" s="1"/>
  <c r="H14" i="26"/>
  <c r="F14" i="26"/>
  <c r="E14" i="26"/>
  <c r="G14" i="26" s="1"/>
  <c r="J14" i="6"/>
  <c r="G36" i="6"/>
  <c r="I36" i="6" s="1"/>
  <c r="F41" i="6"/>
  <c r="K32" i="6"/>
  <c r="G12" i="6"/>
  <c r="I12" i="6" s="1"/>
  <c r="G13" i="6"/>
  <c r="I13" i="6" s="1"/>
  <c r="F23" i="6"/>
  <c r="E37" i="6"/>
  <c r="E43" i="6" s="1"/>
  <c r="E21" i="6"/>
  <c r="J26" i="26"/>
  <c r="L14" i="26" s="1"/>
  <c r="L15" i="26" s="1"/>
  <c r="K36" i="6"/>
  <c r="K13" i="6"/>
  <c r="F43" i="26"/>
  <c r="K12" i="6"/>
  <c r="G23" i="26"/>
  <c r="I23" i="26" s="1"/>
  <c r="J43" i="6"/>
  <c r="J10" i="6" s="1"/>
  <c r="K42" i="6"/>
  <c r="K41" i="6"/>
  <c r="K40" i="6"/>
  <c r="K39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3" i="6"/>
  <c r="K20" i="6"/>
  <c r="K19" i="6"/>
  <c r="K18" i="6"/>
  <c r="K17" i="6"/>
  <c r="K15" i="6"/>
  <c r="G19" i="6"/>
  <c r="I19" i="6" s="1"/>
  <c r="H43" i="6"/>
  <c r="G42" i="6"/>
  <c r="I42" i="6" s="1"/>
  <c r="H15" i="26"/>
  <c r="L26" i="26"/>
  <c r="K25" i="26"/>
  <c r="G25" i="26"/>
  <c r="I25" i="26" s="1"/>
  <c r="K22" i="26"/>
  <c r="G22" i="26"/>
  <c r="I22" i="26" s="1"/>
  <c r="E34" i="26"/>
  <c r="H26" i="26"/>
  <c r="F21" i="6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F28" i="30"/>
  <c r="K27" i="30"/>
  <c r="E27" i="30" s="1"/>
  <c r="D27" i="30" s="1"/>
  <c r="G33" i="27" s="1"/>
  <c r="F33" i="27" s="1"/>
  <c r="K26" i="30"/>
  <c r="K25" i="30"/>
  <c r="E25" i="30" s="1"/>
  <c r="D25" i="30" s="1"/>
  <c r="C25" i="30" s="1"/>
  <c r="G31" i="27"/>
  <c r="F31" i="27" s="1"/>
  <c r="K24" i="30"/>
  <c r="E24" i="30" s="1"/>
  <c r="D24" i="30" s="1"/>
  <c r="K23" i="30"/>
  <c r="E23" i="30" s="1"/>
  <c r="D23" i="30" s="1"/>
  <c r="G29" i="27" s="1"/>
  <c r="F29" i="27" s="1"/>
  <c r="K22" i="30"/>
  <c r="K21" i="30"/>
  <c r="K20" i="30"/>
  <c r="E20" i="30" s="1"/>
  <c r="D20" i="30" s="1"/>
  <c r="K19" i="30"/>
  <c r="K18" i="30"/>
  <c r="K17" i="30"/>
  <c r="E17" i="30" s="1"/>
  <c r="D17" i="30" s="1"/>
  <c r="G22" i="27" s="1"/>
  <c r="F22" i="27" s="1"/>
  <c r="K16" i="30"/>
  <c r="E16" i="30" s="1"/>
  <c r="D16" i="30" s="1"/>
  <c r="K15" i="30"/>
  <c r="E15" i="30" s="1"/>
  <c r="D15" i="30" s="1"/>
  <c r="K14" i="30"/>
  <c r="K13" i="30"/>
  <c r="K12" i="30"/>
  <c r="E12" i="30" s="1"/>
  <c r="D12" i="30" s="1"/>
  <c r="G18" i="27" s="1"/>
  <c r="F18" i="27" s="1"/>
  <c r="K11" i="30"/>
  <c r="K10" i="30"/>
  <c r="K9" i="30"/>
  <c r="E9" i="30" s="1"/>
  <c r="D9" i="30" s="1"/>
  <c r="K8" i="30"/>
  <c r="E8" i="30" s="1"/>
  <c r="D8" i="30" s="1"/>
  <c r="C8" i="30" s="1"/>
  <c r="K7" i="30"/>
  <c r="E7" i="30" s="1"/>
  <c r="K6" i="30"/>
  <c r="K5" i="30"/>
  <c r="K4" i="30"/>
  <c r="I28" i="30"/>
  <c r="C7" i="29"/>
  <c r="D23" i="29"/>
  <c r="W19" i="29"/>
  <c r="W8" i="29" s="1"/>
  <c r="V19" i="29"/>
  <c r="V8" i="29"/>
  <c r="U19" i="29"/>
  <c r="U8" i="29" s="1"/>
  <c r="T19" i="29"/>
  <c r="T8" i="29"/>
  <c r="S19" i="29"/>
  <c r="S8" i="29" s="1"/>
  <c r="R19" i="29"/>
  <c r="R8" i="29"/>
  <c r="Q19" i="29"/>
  <c r="Q8" i="29" s="1"/>
  <c r="P19" i="29"/>
  <c r="P8" i="29"/>
  <c r="O19" i="29"/>
  <c r="O8" i="29" s="1"/>
  <c r="N19" i="29"/>
  <c r="N8" i="29"/>
  <c r="M19" i="29"/>
  <c r="M8" i="29" s="1"/>
  <c r="L19" i="29"/>
  <c r="L8" i="29"/>
  <c r="K19" i="29"/>
  <c r="K8" i="29" s="1"/>
  <c r="J19" i="29"/>
  <c r="J8" i="29"/>
  <c r="I19" i="29"/>
  <c r="I8" i="29" s="1"/>
  <c r="H19" i="29"/>
  <c r="H8" i="29"/>
  <c r="G19" i="29"/>
  <c r="G8" i="29" s="1"/>
  <c r="F19" i="29"/>
  <c r="F8" i="29"/>
  <c r="E19" i="29"/>
  <c r="E8" i="29" s="1"/>
  <c r="D19" i="29"/>
  <c r="D8" i="29"/>
  <c r="C19" i="29"/>
  <c r="C8" i="29" s="1"/>
  <c r="G13" i="26"/>
  <c r="I13" i="26" s="1"/>
  <c r="B26" i="27"/>
  <c r="I11" i="26"/>
  <c r="I10" i="26"/>
  <c r="G24" i="26"/>
  <c r="I24" i="26" s="1"/>
  <c r="G21" i="26"/>
  <c r="I21" i="26" s="1"/>
  <c r="G20" i="26"/>
  <c r="I20" i="26" s="1"/>
  <c r="G19" i="26"/>
  <c r="I19" i="26" s="1"/>
  <c r="G18" i="26"/>
  <c r="I18" i="26" s="1"/>
  <c r="G17" i="26"/>
  <c r="I17" i="26" s="1"/>
  <c r="G16" i="26"/>
  <c r="G12" i="26"/>
  <c r="I12" i="26" s="1"/>
  <c r="E15" i="26"/>
  <c r="F43" i="6"/>
  <c r="G44" i="6"/>
  <c r="I44" i="6" s="1"/>
  <c r="G41" i="6"/>
  <c r="I41" i="6" s="1"/>
  <c r="G40" i="6"/>
  <c r="I40" i="6" s="1"/>
  <c r="G39" i="6"/>
  <c r="I39" i="6" s="1"/>
  <c r="G38" i="6"/>
  <c r="I38" i="6" s="1"/>
  <c r="G37" i="6"/>
  <c r="I37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0" i="6"/>
  <c r="I20" i="6" s="1"/>
  <c r="G14" i="6"/>
  <c r="I14" i="6" s="1"/>
  <c r="G15" i="6"/>
  <c r="I15" i="6" s="1"/>
  <c r="G11" i="6"/>
  <c r="I11" i="6" s="1"/>
  <c r="G18" i="6"/>
  <c r="I18" i="6" s="1"/>
  <c r="G17" i="6"/>
  <c r="I17" i="6" s="1"/>
  <c r="G10" i="6"/>
  <c r="I10" i="6" s="1"/>
  <c r="K21" i="26"/>
  <c r="K18" i="26"/>
  <c r="K20" i="26"/>
  <c r="F26" i="26"/>
  <c r="E26" i="26"/>
  <c r="K17" i="26"/>
  <c r="K23" i="26"/>
  <c r="K24" i="26"/>
  <c r="K19" i="26"/>
  <c r="F68" i="13"/>
  <c r="F66" i="13"/>
  <c r="F64" i="13"/>
  <c r="F59" i="13"/>
  <c r="F55" i="13"/>
  <c r="F51" i="13"/>
  <c r="F50" i="13"/>
  <c r="F49" i="13"/>
  <c r="F46" i="13"/>
  <c r="F42" i="13"/>
  <c r="F47" i="13" s="1"/>
  <c r="F38" i="13"/>
  <c r="F37" i="13"/>
  <c r="F36" i="13"/>
  <c r="F30" i="13"/>
  <c r="F28" i="13"/>
  <c r="F27" i="13"/>
  <c r="F40" i="13" s="1"/>
  <c r="F24" i="13"/>
  <c r="F23" i="13"/>
  <c r="F22" i="13"/>
  <c r="F20" i="13"/>
  <c r="F17" i="13"/>
  <c r="F16" i="13"/>
  <c r="F74" i="13"/>
  <c r="F63" i="13"/>
  <c r="F32" i="13"/>
  <c r="F9" i="13"/>
  <c r="I65" i="13"/>
  <c r="I36" i="13"/>
  <c r="I27" i="13"/>
  <c r="I40" i="13" s="1"/>
  <c r="I23" i="13"/>
  <c r="F5" i="13"/>
  <c r="E57" i="15"/>
  <c r="I66" i="13"/>
  <c r="I61" i="13"/>
  <c r="I53" i="13"/>
  <c r="I32" i="13"/>
  <c r="I22" i="13"/>
  <c r="I20" i="13"/>
  <c r="I18" i="13"/>
  <c r="F77" i="13"/>
  <c r="M15" i="13"/>
  <c r="H38" i="13"/>
  <c r="J38" i="13" s="1"/>
  <c r="E38" i="13"/>
  <c r="H29" i="13"/>
  <c r="J29" i="13" s="1"/>
  <c r="E29" i="13"/>
  <c r="F65" i="13"/>
  <c r="I64" i="13"/>
  <c r="I37" i="13"/>
  <c r="I28" i="13"/>
  <c r="I71" i="13"/>
  <c r="I55" i="13"/>
  <c r="I52" i="13"/>
  <c r="I51" i="13"/>
  <c r="I50" i="13"/>
  <c r="I35" i="13"/>
  <c r="I34" i="13"/>
  <c r="I31" i="13"/>
  <c r="I30" i="13"/>
  <c r="I24" i="13"/>
  <c r="I21" i="13"/>
  <c r="I16" i="13"/>
  <c r="I25" i="13" s="1"/>
  <c r="H59" i="13"/>
  <c r="H58" i="13"/>
  <c r="H69" i="13" s="1"/>
  <c r="E58" i="15"/>
  <c r="E59" i="15"/>
  <c r="H44" i="13"/>
  <c r="E51" i="15"/>
  <c r="H42" i="13"/>
  <c r="H47" i="13" s="1"/>
  <c r="H33" i="13"/>
  <c r="H39" i="13"/>
  <c r="E29" i="15"/>
  <c r="K63" i="13"/>
  <c r="K66" i="13"/>
  <c r="K67" i="13"/>
  <c r="K68" i="13"/>
  <c r="K17" i="13"/>
  <c r="K19" i="13"/>
  <c r="K20" i="13"/>
  <c r="K21" i="13"/>
  <c r="K22" i="13"/>
  <c r="K24" i="13"/>
  <c r="K27" i="13"/>
  <c r="K40" i="13" s="1"/>
  <c r="K28" i="13"/>
  <c r="K30" i="13"/>
  <c r="K31" i="13"/>
  <c r="K32" i="13"/>
  <c r="K33" i="13"/>
  <c r="K34" i="13"/>
  <c r="K35" i="13"/>
  <c r="K36" i="13"/>
  <c r="K37" i="13"/>
  <c r="K39" i="13"/>
  <c r="K43" i="13"/>
  <c r="K45" i="13"/>
  <c r="K50" i="13"/>
  <c r="K51" i="13"/>
  <c r="K52" i="13"/>
  <c r="K54" i="13"/>
  <c r="K55" i="13"/>
  <c r="K58" i="13"/>
  <c r="K69" i="13" s="1"/>
  <c r="K72" i="13" s="1"/>
  <c r="K59" i="13"/>
  <c r="K60" i="13"/>
  <c r="K61" i="13"/>
  <c r="K74" i="13"/>
  <c r="K8" i="13"/>
  <c r="K13" i="13" s="1"/>
  <c r="H71" i="13"/>
  <c r="E71" i="13"/>
  <c r="H61" i="13"/>
  <c r="E59" i="13"/>
  <c r="E60" i="13"/>
  <c r="E61" i="13"/>
  <c r="E62" i="13"/>
  <c r="E55" i="13"/>
  <c r="E5" i="13"/>
  <c r="E8" i="13"/>
  <c r="E13" i="13" s="1"/>
  <c r="E9" i="13"/>
  <c r="E10" i="13"/>
  <c r="E11" i="13"/>
  <c r="E16" i="13"/>
  <c r="E17" i="13"/>
  <c r="E18" i="13"/>
  <c r="E19" i="13"/>
  <c r="E20" i="13"/>
  <c r="E27" i="13"/>
  <c r="E40" i="13" s="1"/>
  <c r="E28" i="13"/>
  <c r="G28" i="13" s="1"/>
  <c r="E30" i="13"/>
  <c r="E31" i="13"/>
  <c r="E32" i="13"/>
  <c r="E33" i="13"/>
  <c r="E34" i="13"/>
  <c r="E35" i="13"/>
  <c r="E36" i="13"/>
  <c r="E37" i="13"/>
  <c r="E50" i="13"/>
  <c r="E51" i="13"/>
  <c r="E52" i="13"/>
  <c r="E53" i="13"/>
  <c r="E54" i="13"/>
  <c r="E58" i="13"/>
  <c r="E69" i="13" s="1"/>
  <c r="E63" i="13"/>
  <c r="E64" i="13"/>
  <c r="E65" i="13"/>
  <c r="E66" i="13"/>
  <c r="G66" i="13" s="1"/>
  <c r="E67" i="13"/>
  <c r="E68" i="13"/>
  <c r="E74" i="13"/>
  <c r="H8" i="13"/>
  <c r="H9" i="13"/>
  <c r="H10" i="13"/>
  <c r="H11" i="13"/>
  <c r="H16" i="13"/>
  <c r="H25" i="13" s="1"/>
  <c r="H17" i="13"/>
  <c r="H19" i="13"/>
  <c r="H20" i="13"/>
  <c r="H21" i="13"/>
  <c r="H22" i="13"/>
  <c r="H24" i="13"/>
  <c r="H27" i="13"/>
  <c r="H28" i="13"/>
  <c r="H32" i="13"/>
  <c r="H34" i="13"/>
  <c r="H36" i="13"/>
  <c r="H37" i="13"/>
  <c r="H43" i="13"/>
  <c r="H49" i="13"/>
  <c r="H56" i="13" s="1"/>
  <c r="H50" i="13"/>
  <c r="J50" i="13" s="1"/>
  <c r="H52" i="13"/>
  <c r="H53" i="13"/>
  <c r="H54" i="13"/>
  <c r="H55" i="13"/>
  <c r="H63" i="13"/>
  <c r="H64" i="13"/>
  <c r="H65" i="13"/>
  <c r="H66" i="13"/>
  <c r="H67" i="13"/>
  <c r="E24" i="13"/>
  <c r="F10" i="13"/>
  <c r="AC57" i="22"/>
  <c r="AB57" i="22"/>
  <c r="AA57" i="22"/>
  <c r="X57" i="22"/>
  <c r="W57" i="22"/>
  <c r="U57" i="22"/>
  <c r="S57" i="22"/>
  <c r="Q57" i="22"/>
  <c r="P57" i="22"/>
  <c r="J57" i="22"/>
  <c r="G57" i="22"/>
  <c r="F55" i="22"/>
  <c r="R54" i="22"/>
  <c r="F54" i="22" s="1"/>
  <c r="R53" i="22"/>
  <c r="F53" i="22"/>
  <c r="R52" i="22"/>
  <c r="F52" i="22" s="1"/>
  <c r="R51" i="22"/>
  <c r="F51" i="22"/>
  <c r="R50" i="22"/>
  <c r="F50" i="22" s="1"/>
  <c r="R49" i="22"/>
  <c r="K49" i="22"/>
  <c r="F49" i="22" s="1"/>
  <c r="R48" i="22"/>
  <c r="F48" i="22"/>
  <c r="R47" i="22"/>
  <c r="M47" i="22"/>
  <c r="F47" i="22" s="1"/>
  <c r="R46" i="22"/>
  <c r="F46" i="22"/>
  <c r="R45" i="22"/>
  <c r="F45" i="22" s="1"/>
  <c r="R44" i="22"/>
  <c r="F44" i="22"/>
  <c r="R43" i="22"/>
  <c r="F43" i="22" s="1"/>
  <c r="F42" i="22"/>
  <c r="R41" i="22"/>
  <c r="F41" i="22" s="1"/>
  <c r="R40" i="22"/>
  <c r="F40" i="22"/>
  <c r="R38" i="22"/>
  <c r="F38" i="22" s="1"/>
  <c r="O38" i="22"/>
  <c r="N38" i="22"/>
  <c r="M38" i="22"/>
  <c r="R37" i="22"/>
  <c r="F37" i="22" s="1"/>
  <c r="R36" i="22"/>
  <c r="F36" i="22"/>
  <c r="R35" i="22"/>
  <c r="F35" i="22" s="1"/>
  <c r="R34" i="22"/>
  <c r="F34" i="22"/>
  <c r="R33" i="22"/>
  <c r="F33" i="22" s="1"/>
  <c r="R32" i="22"/>
  <c r="N32" i="22"/>
  <c r="M32" i="22"/>
  <c r="R31" i="22"/>
  <c r="N31" i="22"/>
  <c r="R30" i="22"/>
  <c r="F30" i="22"/>
  <c r="R29" i="22"/>
  <c r="F29" i="22"/>
  <c r="V28" i="22"/>
  <c r="R28" i="22"/>
  <c r="L28" i="22"/>
  <c r="I28" i="22"/>
  <c r="R27" i="22"/>
  <c r="F27" i="22"/>
  <c r="T26" i="22"/>
  <c r="R25" i="22"/>
  <c r="F25" i="22"/>
  <c r="R24" i="22"/>
  <c r="F24" i="22" s="1"/>
  <c r="Y23" i="22"/>
  <c r="Y57" i="22"/>
  <c r="V23" i="22"/>
  <c r="R22" i="22"/>
  <c r="F22" i="22"/>
  <c r="R21" i="22"/>
  <c r="F21" i="22"/>
  <c r="Z20" i="22"/>
  <c r="Z57" i="22" s="1"/>
  <c r="I20" i="22"/>
  <c r="R19" i="22"/>
  <c r="F19" i="22"/>
  <c r="R18" i="22"/>
  <c r="R17" i="22"/>
  <c r="F17" i="22" s="1"/>
  <c r="R16" i="22"/>
  <c r="F16" i="22"/>
  <c r="R15" i="22"/>
  <c r="F15" i="22" s="1"/>
  <c r="R14" i="22"/>
  <c r="F14" i="22"/>
  <c r="R13" i="22"/>
  <c r="F13" i="22" s="1"/>
  <c r="R12" i="22"/>
  <c r="F12" i="22"/>
  <c r="W11" i="22"/>
  <c r="R11" i="22" s="1"/>
  <c r="F11" i="22" s="1"/>
  <c r="R10" i="22"/>
  <c r="F10" i="22"/>
  <c r="R9" i="22"/>
  <c r="F9" i="22" s="1"/>
  <c r="F7" i="22"/>
  <c r="A3" i="22"/>
  <c r="F26" i="17"/>
  <c r="G23" i="17"/>
  <c r="E21" i="13"/>
  <c r="E22" i="13"/>
  <c r="E23" i="13"/>
  <c r="G23" i="13" s="1"/>
  <c r="G22" i="17"/>
  <c r="G21" i="17"/>
  <c r="F11" i="13"/>
  <c r="G11" i="13" s="1"/>
  <c r="U42" i="18"/>
  <c r="T76" i="18"/>
  <c r="T49" i="18"/>
  <c r="T67" i="18"/>
  <c r="T72" i="18" s="1"/>
  <c r="U21" i="18"/>
  <c r="U22" i="18"/>
  <c r="U23" i="18"/>
  <c r="U25" i="18"/>
  <c r="U44" i="18"/>
  <c r="U45" i="18"/>
  <c r="U46" i="18"/>
  <c r="U48" i="18"/>
  <c r="U52" i="18"/>
  <c r="U54" i="18"/>
  <c r="U55" i="18"/>
  <c r="U56" i="18"/>
  <c r="T7" i="18"/>
  <c r="T13" i="18"/>
  <c r="T42" i="18"/>
  <c r="E8" i="18"/>
  <c r="F8" i="18"/>
  <c r="F13" i="18"/>
  <c r="G8" i="18"/>
  <c r="H8" i="18"/>
  <c r="J8" i="18"/>
  <c r="N8" i="18"/>
  <c r="O8" i="18"/>
  <c r="P8" i="18"/>
  <c r="Q8" i="18"/>
  <c r="R8" i="18"/>
  <c r="V8" i="18"/>
  <c r="Y8" i="18"/>
  <c r="W56" i="18"/>
  <c r="Y7" i="18"/>
  <c r="Y13" i="18"/>
  <c r="E77" i="18"/>
  <c r="E78" i="18" s="1"/>
  <c r="K76" i="18"/>
  <c r="I75" i="18"/>
  <c r="K75" i="18" s="1"/>
  <c r="I73" i="18"/>
  <c r="H72" i="18"/>
  <c r="G72" i="18"/>
  <c r="F72" i="18"/>
  <c r="AA71" i="18"/>
  <c r="Z71" i="18"/>
  <c r="Y71" i="18"/>
  <c r="X71" i="18"/>
  <c r="W71" i="18"/>
  <c r="V71" i="18"/>
  <c r="U71" i="18"/>
  <c r="R71" i="18"/>
  <c r="Q71" i="18"/>
  <c r="P71" i="18"/>
  <c r="O71" i="18"/>
  <c r="N71" i="18"/>
  <c r="J71" i="18"/>
  <c r="E71" i="18"/>
  <c r="I71" i="18"/>
  <c r="AA70" i="18"/>
  <c r="Z70" i="18"/>
  <c r="Y70" i="18"/>
  <c r="X70" i="18"/>
  <c r="W70" i="18"/>
  <c r="V70" i="18"/>
  <c r="U70" i="18"/>
  <c r="R70" i="18"/>
  <c r="Q70" i="18"/>
  <c r="P70" i="18"/>
  <c r="O70" i="18"/>
  <c r="N70" i="18"/>
  <c r="E70" i="18"/>
  <c r="I70" i="18"/>
  <c r="K70" i="18"/>
  <c r="M69" i="18"/>
  <c r="E69" i="18"/>
  <c r="I69" i="18"/>
  <c r="K69" i="18"/>
  <c r="AA68" i="18"/>
  <c r="R68" i="18"/>
  <c r="Q68" i="18"/>
  <c r="P68" i="18"/>
  <c r="O68" i="18"/>
  <c r="M68" i="18" s="1"/>
  <c r="N68" i="18"/>
  <c r="E68" i="18"/>
  <c r="I68" i="18" s="1"/>
  <c r="K68" i="18" s="1"/>
  <c r="M67" i="18"/>
  <c r="E67" i="18"/>
  <c r="E66" i="18"/>
  <c r="I66" i="18"/>
  <c r="L66" i="18" s="1"/>
  <c r="P66" i="18" s="1"/>
  <c r="AA65" i="18"/>
  <c r="Z65" i="18"/>
  <c r="R65" i="18"/>
  <c r="M65" i="18" s="1"/>
  <c r="Q65" i="18"/>
  <c r="P65" i="18"/>
  <c r="O65" i="18"/>
  <c r="N65" i="18"/>
  <c r="E65" i="18"/>
  <c r="I65" i="18"/>
  <c r="K65" i="18"/>
  <c r="AA64" i="18"/>
  <c r="Z64" i="18"/>
  <c r="Y64" i="18"/>
  <c r="X64" i="18"/>
  <c r="W64" i="18"/>
  <c r="V64" i="18"/>
  <c r="U64" i="18"/>
  <c r="R64" i="18"/>
  <c r="Q64" i="18"/>
  <c r="P64" i="18"/>
  <c r="O64" i="18"/>
  <c r="N64" i="18"/>
  <c r="E64" i="18"/>
  <c r="I64" i="18" s="1"/>
  <c r="K64" i="18" s="1"/>
  <c r="AA63" i="18"/>
  <c r="Z63" i="18"/>
  <c r="Y63" i="18"/>
  <c r="X63" i="18"/>
  <c r="W63" i="18"/>
  <c r="V63" i="18"/>
  <c r="U63" i="18"/>
  <c r="R63" i="18"/>
  <c r="Q63" i="18"/>
  <c r="P63" i="18"/>
  <c r="O63" i="18"/>
  <c r="M63" i="18" s="1"/>
  <c r="N63" i="18"/>
  <c r="E63" i="18"/>
  <c r="I63" i="18" s="1"/>
  <c r="K63" i="18" s="1"/>
  <c r="AA62" i="18"/>
  <c r="Z62" i="18"/>
  <c r="Y62" i="18"/>
  <c r="X62" i="18"/>
  <c r="W62" i="18"/>
  <c r="V62" i="18"/>
  <c r="U62" i="18"/>
  <c r="R62" i="18"/>
  <c r="Q62" i="18"/>
  <c r="P62" i="18"/>
  <c r="O62" i="18"/>
  <c r="N62" i="18"/>
  <c r="J62" i="18"/>
  <c r="E62" i="18"/>
  <c r="I62" i="18" s="1"/>
  <c r="AA61" i="18"/>
  <c r="Z61" i="18"/>
  <c r="Y61" i="18"/>
  <c r="X61" i="18"/>
  <c r="X72" i="18" s="1"/>
  <c r="W61" i="18"/>
  <c r="V61" i="18"/>
  <c r="U61" i="18"/>
  <c r="U72" i="18" s="1"/>
  <c r="R61" i="18"/>
  <c r="Q61" i="18"/>
  <c r="P61" i="18"/>
  <c r="O61" i="18"/>
  <c r="N61" i="18"/>
  <c r="M61" i="18" s="1"/>
  <c r="J61" i="18"/>
  <c r="E61" i="18"/>
  <c r="I61" i="18" s="1"/>
  <c r="K61" i="18" s="1"/>
  <c r="AA60" i="18"/>
  <c r="Z60" i="18"/>
  <c r="Y60" i="18"/>
  <c r="X60" i="18"/>
  <c r="W60" i="18"/>
  <c r="V60" i="18"/>
  <c r="U60" i="18"/>
  <c r="R60" i="18"/>
  <c r="M60" i="18" s="1"/>
  <c r="Q60" i="18"/>
  <c r="P60" i="18"/>
  <c r="O60" i="18"/>
  <c r="N60" i="18"/>
  <c r="E60" i="18"/>
  <c r="I59" i="18"/>
  <c r="H58" i="18"/>
  <c r="G58" i="18"/>
  <c r="F58" i="18"/>
  <c r="M57" i="18"/>
  <c r="J57" i="18"/>
  <c r="E57" i="18"/>
  <c r="I57" i="18" s="1"/>
  <c r="AA56" i="18"/>
  <c r="AA58" i="18" s="1"/>
  <c r="Z56" i="18"/>
  <c r="Y56" i="18"/>
  <c r="X56" i="18"/>
  <c r="V56" i="18"/>
  <c r="R56" i="18"/>
  <c r="Q56" i="18"/>
  <c r="P56" i="18"/>
  <c r="O56" i="18"/>
  <c r="O58" i="18" s="1"/>
  <c r="N56" i="18"/>
  <c r="J56" i="18"/>
  <c r="E56" i="18"/>
  <c r="I56" i="18"/>
  <c r="AA55" i="18"/>
  <c r="Z55" i="18"/>
  <c r="Y55" i="18"/>
  <c r="X55" i="18"/>
  <c r="X58" i="18" s="1"/>
  <c r="W55" i="18"/>
  <c r="V55" i="18"/>
  <c r="R55" i="18"/>
  <c r="Q55" i="18"/>
  <c r="P55" i="18"/>
  <c r="O55" i="18"/>
  <c r="N55" i="18"/>
  <c r="J55" i="18"/>
  <c r="E55" i="18"/>
  <c r="I55" i="18" s="1"/>
  <c r="K55" i="18" s="1"/>
  <c r="AA54" i="18"/>
  <c r="Z54" i="18"/>
  <c r="Y54" i="18"/>
  <c r="X54" i="18"/>
  <c r="W54" i="18"/>
  <c r="V54" i="18"/>
  <c r="R54" i="18"/>
  <c r="R58" i="18" s="1"/>
  <c r="Q54" i="18"/>
  <c r="P54" i="18"/>
  <c r="O54" i="18"/>
  <c r="M54" i="18" s="1"/>
  <c r="M58" i="18" s="1"/>
  <c r="N54" i="18"/>
  <c r="J54" i="18"/>
  <c r="E54" i="18"/>
  <c r="I54" i="18" s="1"/>
  <c r="K54" i="18" s="1"/>
  <c r="R53" i="18"/>
  <c r="Q53" i="18"/>
  <c r="P53" i="18"/>
  <c r="P58" i="18" s="1"/>
  <c r="O53" i="18"/>
  <c r="N53" i="18"/>
  <c r="J53" i="18"/>
  <c r="E53" i="18"/>
  <c r="I53" i="18" s="1"/>
  <c r="AA52" i="18"/>
  <c r="Z52" i="18"/>
  <c r="Y52" i="18"/>
  <c r="Y58" i="18" s="1"/>
  <c r="X52" i="18"/>
  <c r="W52" i="18"/>
  <c r="W58" i="18" s="1"/>
  <c r="V52" i="18"/>
  <c r="R52" i="18"/>
  <c r="Q52" i="18"/>
  <c r="P52" i="18"/>
  <c r="O52" i="18"/>
  <c r="N52" i="18"/>
  <c r="N58" i="18" s="1"/>
  <c r="J52" i="18"/>
  <c r="E52" i="18"/>
  <c r="I52" i="18"/>
  <c r="K52" i="18"/>
  <c r="M51" i="18"/>
  <c r="J51" i="18"/>
  <c r="E51" i="18"/>
  <c r="I51" i="18"/>
  <c r="AA49" i="18"/>
  <c r="R49" i="18"/>
  <c r="Q49" i="18"/>
  <c r="P49" i="18"/>
  <c r="O49" i="18"/>
  <c r="N49" i="18"/>
  <c r="L49" i="18"/>
  <c r="H49" i="18"/>
  <c r="G49" i="18"/>
  <c r="F49" i="18"/>
  <c r="Z48" i="18"/>
  <c r="Y48" i="18"/>
  <c r="X48" i="18"/>
  <c r="W48" i="18"/>
  <c r="V48" i="18"/>
  <c r="M48" i="18"/>
  <c r="J48" i="18"/>
  <c r="E48" i="18"/>
  <c r="I48" i="18"/>
  <c r="K48" i="18"/>
  <c r="Z47" i="18"/>
  <c r="Y47" i="18"/>
  <c r="X47" i="18"/>
  <c r="W47" i="18"/>
  <c r="V47" i="18"/>
  <c r="M47" i="18"/>
  <c r="J47" i="18"/>
  <c r="E47" i="18"/>
  <c r="I47" i="18" s="1"/>
  <c r="Z46" i="18"/>
  <c r="Y46" i="18"/>
  <c r="X46" i="18"/>
  <c r="W46" i="18"/>
  <c r="V46" i="18"/>
  <c r="M46" i="18"/>
  <c r="J46" i="18"/>
  <c r="E46" i="18"/>
  <c r="I46" i="18"/>
  <c r="Z45" i="18"/>
  <c r="Y45" i="18"/>
  <c r="Y49" i="18" s="1"/>
  <c r="X45" i="18"/>
  <c r="W45" i="18"/>
  <c r="V45" i="18"/>
  <c r="M45" i="18"/>
  <c r="J45" i="18"/>
  <c r="E45" i="18"/>
  <c r="I45" i="18"/>
  <c r="K45" i="18"/>
  <c r="Z44" i="18"/>
  <c r="Y44" i="18"/>
  <c r="X44" i="18"/>
  <c r="X49" i="18" s="1"/>
  <c r="W44" i="18"/>
  <c r="V44" i="18"/>
  <c r="V49" i="18" s="1"/>
  <c r="M44" i="18"/>
  <c r="J44" i="18"/>
  <c r="J49" i="18" s="1"/>
  <c r="E44" i="18"/>
  <c r="I43" i="18"/>
  <c r="K43" i="18" s="1"/>
  <c r="L42" i="18"/>
  <c r="H42" i="18"/>
  <c r="G42" i="18"/>
  <c r="F42" i="18"/>
  <c r="Q41" i="18"/>
  <c r="M41" i="18"/>
  <c r="J41" i="18"/>
  <c r="E41" i="18"/>
  <c r="I41" i="18"/>
  <c r="N40" i="18"/>
  <c r="O40" i="18"/>
  <c r="P40" i="18" s="1"/>
  <c r="Q40" i="18" s="1"/>
  <c r="J40" i="18"/>
  <c r="E40" i="18"/>
  <c r="I40" i="18"/>
  <c r="K40" i="18"/>
  <c r="N39" i="18"/>
  <c r="O39" i="18"/>
  <c r="P39" i="18"/>
  <c r="J39" i="18"/>
  <c r="E39" i="18"/>
  <c r="I39" i="18" s="1"/>
  <c r="N38" i="18"/>
  <c r="O38" i="18"/>
  <c r="P38" i="18" s="1"/>
  <c r="Q38" i="18" s="1"/>
  <c r="J38" i="18"/>
  <c r="E38" i="18"/>
  <c r="I38" i="18" s="1"/>
  <c r="P37" i="18"/>
  <c r="M37" i="18"/>
  <c r="E37" i="18"/>
  <c r="I37" i="18"/>
  <c r="K37" i="18"/>
  <c r="AA36" i="18"/>
  <c r="AA42" i="18" s="1"/>
  <c r="Z36" i="18"/>
  <c r="Z42" i="18"/>
  <c r="Y36" i="18"/>
  <c r="Y42" i="18" s="1"/>
  <c r="X36" i="18"/>
  <c r="X42" i="18"/>
  <c r="W36" i="18"/>
  <c r="W42" i="18" s="1"/>
  <c r="V36" i="18"/>
  <c r="V42" i="18"/>
  <c r="R36" i="18"/>
  <c r="R42" i="18" s="1"/>
  <c r="Q36" i="18"/>
  <c r="P36" i="18"/>
  <c r="O36" i="18"/>
  <c r="M36" i="18" s="1"/>
  <c r="N36" i="18"/>
  <c r="J36" i="18"/>
  <c r="E36" i="18"/>
  <c r="I36" i="18"/>
  <c r="K36" i="18" s="1"/>
  <c r="N35" i="18"/>
  <c r="J35" i="18"/>
  <c r="E35" i="18"/>
  <c r="M34" i="18"/>
  <c r="J34" i="18"/>
  <c r="E34" i="18"/>
  <c r="I34" i="18" s="1"/>
  <c r="K34" i="18" s="1"/>
  <c r="N33" i="18"/>
  <c r="O33" i="18"/>
  <c r="J33" i="18"/>
  <c r="E33" i="18"/>
  <c r="I33" i="18"/>
  <c r="M32" i="18"/>
  <c r="J32" i="18"/>
  <c r="E32" i="18"/>
  <c r="M31" i="18"/>
  <c r="J31" i="18"/>
  <c r="J29" i="18"/>
  <c r="J30" i="18"/>
  <c r="E31" i="18"/>
  <c r="I31" i="18"/>
  <c r="M30" i="18"/>
  <c r="E30" i="18"/>
  <c r="I30" i="18"/>
  <c r="N29" i="18"/>
  <c r="E29" i="18"/>
  <c r="I29" i="18" s="1"/>
  <c r="K29" i="18" s="1"/>
  <c r="I28" i="18"/>
  <c r="K28" i="18"/>
  <c r="L27" i="18"/>
  <c r="H27" i="18"/>
  <c r="G27" i="18"/>
  <c r="F27" i="18"/>
  <c r="P26" i="18"/>
  <c r="M26" i="18" s="1"/>
  <c r="J26" i="18"/>
  <c r="E26" i="18"/>
  <c r="I26" i="18" s="1"/>
  <c r="R25" i="18"/>
  <c r="Q25" i="18"/>
  <c r="P25" i="18"/>
  <c r="M25" i="18" s="1"/>
  <c r="O25" i="18"/>
  <c r="N25" i="18"/>
  <c r="J25" i="18"/>
  <c r="E25" i="18"/>
  <c r="I25" i="18" s="1"/>
  <c r="M24" i="18"/>
  <c r="J24" i="18"/>
  <c r="E24" i="18"/>
  <c r="I24" i="18" s="1"/>
  <c r="K24" i="18" s="1"/>
  <c r="AA23" i="18"/>
  <c r="Z23" i="18"/>
  <c r="Y23" i="18"/>
  <c r="X23" i="18"/>
  <c r="W23" i="18"/>
  <c r="V23" i="18"/>
  <c r="R23" i="18"/>
  <c r="R27" i="18" s="1"/>
  <c r="Q23" i="18"/>
  <c r="P23" i="18"/>
  <c r="O23" i="18"/>
  <c r="N23" i="18"/>
  <c r="J23" i="18"/>
  <c r="E23" i="18"/>
  <c r="I23" i="18"/>
  <c r="K23" i="18"/>
  <c r="AA22" i="18"/>
  <c r="Z22" i="18"/>
  <c r="Y22" i="18"/>
  <c r="X22" i="18"/>
  <c r="W22" i="18"/>
  <c r="V22" i="18"/>
  <c r="R22" i="18"/>
  <c r="Q22" i="18"/>
  <c r="P22" i="18"/>
  <c r="O22" i="18"/>
  <c r="N22" i="18"/>
  <c r="J22" i="18"/>
  <c r="E22" i="18"/>
  <c r="I22" i="18"/>
  <c r="AA21" i="18"/>
  <c r="Z21" i="18"/>
  <c r="Y21" i="18"/>
  <c r="X21" i="18"/>
  <c r="W21" i="18"/>
  <c r="V21" i="18"/>
  <c r="R21" i="18"/>
  <c r="Q21" i="18"/>
  <c r="P21" i="18"/>
  <c r="O21" i="18"/>
  <c r="N21" i="18"/>
  <c r="M21" i="18" s="1"/>
  <c r="J21" i="18"/>
  <c r="E21" i="18"/>
  <c r="I21" i="18" s="1"/>
  <c r="K21" i="18" s="1"/>
  <c r="AA20" i="18"/>
  <c r="Z20" i="18"/>
  <c r="Y20" i="18"/>
  <c r="X20" i="18"/>
  <c r="W20" i="18"/>
  <c r="V20" i="18"/>
  <c r="R20" i="18"/>
  <c r="Q20" i="18"/>
  <c r="P20" i="18"/>
  <c r="O20" i="18"/>
  <c r="N20" i="18"/>
  <c r="J20" i="18"/>
  <c r="E20" i="18"/>
  <c r="I20" i="18" s="1"/>
  <c r="K20" i="18" s="1"/>
  <c r="AA19" i="18"/>
  <c r="Z19" i="18"/>
  <c r="Z27" i="18" s="1"/>
  <c r="Y19" i="18"/>
  <c r="X19" i="18"/>
  <c r="W19" i="18"/>
  <c r="V19" i="18"/>
  <c r="V27" i="18" s="1"/>
  <c r="R19" i="18"/>
  <c r="Q19" i="18"/>
  <c r="P19" i="18"/>
  <c r="O19" i="18"/>
  <c r="M19" i="18" s="1"/>
  <c r="N19" i="18"/>
  <c r="J19" i="18"/>
  <c r="E19" i="18"/>
  <c r="I19" i="18"/>
  <c r="K19" i="18" s="1"/>
  <c r="AA18" i="18"/>
  <c r="Z18" i="18"/>
  <c r="Y18" i="18"/>
  <c r="X18" i="18"/>
  <c r="X27" i="18" s="1"/>
  <c r="X74" i="18" s="1"/>
  <c r="W18" i="18"/>
  <c r="V18" i="18"/>
  <c r="R18" i="18"/>
  <c r="Q18" i="18"/>
  <c r="P18" i="18"/>
  <c r="O18" i="18"/>
  <c r="N18" i="18"/>
  <c r="M18" i="18" s="1"/>
  <c r="J18" i="18"/>
  <c r="E18" i="18"/>
  <c r="I18" i="18"/>
  <c r="M17" i="18"/>
  <c r="J17" i="18"/>
  <c r="E17" i="18"/>
  <c r="I17" i="18"/>
  <c r="K17" i="18" s="1"/>
  <c r="M16" i="18"/>
  <c r="J16" i="18"/>
  <c r="K16" i="18" s="1"/>
  <c r="E16" i="18"/>
  <c r="I16" i="18"/>
  <c r="M12" i="18"/>
  <c r="I12" i="18"/>
  <c r="K12" i="18"/>
  <c r="M11" i="18"/>
  <c r="E11" i="18"/>
  <c r="I11" i="18" s="1"/>
  <c r="K11" i="18" s="1"/>
  <c r="M10" i="18"/>
  <c r="J10" i="18"/>
  <c r="E10" i="18"/>
  <c r="M9" i="18"/>
  <c r="E9" i="18"/>
  <c r="I9" i="18" s="1"/>
  <c r="K9" i="18" s="1"/>
  <c r="J7" i="18"/>
  <c r="H7" i="18"/>
  <c r="H13" i="18" s="1"/>
  <c r="G7" i="18"/>
  <c r="E7" i="18"/>
  <c r="G20" i="17"/>
  <c r="G2" i="17"/>
  <c r="G19" i="17"/>
  <c r="G18" i="17"/>
  <c r="G13" i="17"/>
  <c r="G15" i="17"/>
  <c r="F16" i="17"/>
  <c r="G16" i="17"/>
  <c r="F14" i="17"/>
  <c r="G14" i="17" s="1"/>
  <c r="F10" i="17"/>
  <c r="F11" i="17"/>
  <c r="F9" i="17"/>
  <c r="F8" i="17"/>
  <c r="F7" i="17"/>
  <c r="F6" i="17"/>
  <c r="F5" i="17"/>
  <c r="F25" i="17" s="1"/>
  <c r="F27" i="17" s="1"/>
  <c r="I11" i="13"/>
  <c r="E12" i="13"/>
  <c r="K11" i="13"/>
  <c r="I10" i="13"/>
  <c r="D75" i="7"/>
  <c r="I12" i="13"/>
  <c r="J12" i="13" s="1"/>
  <c r="E68" i="15"/>
  <c r="F68" i="15"/>
  <c r="E72" i="15"/>
  <c r="E73" i="15"/>
  <c r="F73" i="15"/>
  <c r="E56" i="15"/>
  <c r="E35" i="15"/>
  <c r="F35" i="15"/>
  <c r="J35" i="15"/>
  <c r="M35" i="15" s="1"/>
  <c r="N35" i="15" s="1"/>
  <c r="E42" i="15"/>
  <c r="F42" i="15"/>
  <c r="I42" i="15" s="1"/>
  <c r="J42" i="15"/>
  <c r="M42" i="15" s="1"/>
  <c r="N42" i="15" s="1"/>
  <c r="E21" i="15"/>
  <c r="E22" i="15"/>
  <c r="E23" i="15"/>
  <c r="E20" i="15"/>
  <c r="E31" i="15" s="1"/>
  <c r="E25" i="15"/>
  <c r="E26" i="15"/>
  <c r="E27" i="15"/>
  <c r="E28" i="15"/>
  <c r="E30" i="15"/>
  <c r="H57" i="7"/>
  <c r="G57" i="7"/>
  <c r="G17" i="7"/>
  <c r="F82" i="15"/>
  <c r="E49" i="13"/>
  <c r="G49" i="13" s="1"/>
  <c r="F85" i="15"/>
  <c r="F66" i="15"/>
  <c r="J66" i="15"/>
  <c r="M66" i="15" s="1"/>
  <c r="N66" i="15" s="1"/>
  <c r="J77" i="15"/>
  <c r="F67" i="15"/>
  <c r="J67" i="15"/>
  <c r="F69" i="15"/>
  <c r="F70" i="15"/>
  <c r="F71" i="15"/>
  <c r="F72" i="15"/>
  <c r="F74" i="15"/>
  <c r="F75" i="15"/>
  <c r="F76" i="15"/>
  <c r="F65" i="15"/>
  <c r="F77" i="15" s="1"/>
  <c r="F56" i="15"/>
  <c r="F57" i="15"/>
  <c r="J57" i="15"/>
  <c r="M57" i="15" s="1"/>
  <c r="N57" i="15" s="1"/>
  <c r="F58" i="15"/>
  <c r="F59" i="15"/>
  <c r="F60" i="15"/>
  <c r="F61" i="15"/>
  <c r="F62" i="15"/>
  <c r="F55" i="15"/>
  <c r="F63" i="15" s="1"/>
  <c r="F49" i="15"/>
  <c r="F50" i="15"/>
  <c r="F51" i="15"/>
  <c r="J51" i="15"/>
  <c r="M51" i="15" s="1"/>
  <c r="N51" i="15" s="1"/>
  <c r="F52" i="15"/>
  <c r="F48" i="15"/>
  <c r="F53" i="15" s="1"/>
  <c r="F34" i="15"/>
  <c r="F36" i="15"/>
  <c r="J36" i="15"/>
  <c r="M36" i="15" s="1"/>
  <c r="N36" i="15" s="1"/>
  <c r="F37" i="15"/>
  <c r="F38" i="15"/>
  <c r="F39" i="15"/>
  <c r="F40" i="15"/>
  <c r="F41" i="15"/>
  <c r="F43" i="15"/>
  <c r="F44" i="15"/>
  <c r="F45" i="15"/>
  <c r="J45" i="15"/>
  <c r="M45" i="15"/>
  <c r="N45" i="15" s="1"/>
  <c r="F33" i="15"/>
  <c r="F21" i="15"/>
  <c r="F22" i="15"/>
  <c r="F23" i="15"/>
  <c r="F24" i="15"/>
  <c r="J24" i="15"/>
  <c r="F25" i="15"/>
  <c r="F26" i="15"/>
  <c r="I26" i="15" s="1"/>
  <c r="F27" i="15"/>
  <c r="F28" i="15"/>
  <c r="F29" i="15"/>
  <c r="F30" i="15"/>
  <c r="F20" i="15"/>
  <c r="F31" i="15" s="1"/>
  <c r="F15" i="15"/>
  <c r="F14" i="15"/>
  <c r="F12" i="15"/>
  <c r="I12" i="15" s="1"/>
  <c r="K12" i="15" s="1"/>
  <c r="F9" i="15"/>
  <c r="F17" i="15" s="1"/>
  <c r="G11" i="15"/>
  <c r="M12" i="15"/>
  <c r="N12" i="15" s="1"/>
  <c r="M13" i="15"/>
  <c r="N13" i="15"/>
  <c r="M15" i="15"/>
  <c r="N15" i="15" s="1"/>
  <c r="L11" i="15"/>
  <c r="L82" i="15"/>
  <c r="M68" i="15"/>
  <c r="N68" i="15" s="1"/>
  <c r="M69" i="15"/>
  <c r="N69" i="15"/>
  <c r="M70" i="15"/>
  <c r="N70" i="15" s="1"/>
  <c r="M72" i="15"/>
  <c r="N72" i="15"/>
  <c r="M73" i="15"/>
  <c r="N73" i="15" s="1"/>
  <c r="M74" i="15"/>
  <c r="N74" i="15"/>
  <c r="M75" i="15"/>
  <c r="N75" i="15" s="1"/>
  <c r="M65" i="15"/>
  <c r="N65" i="15"/>
  <c r="M41" i="15"/>
  <c r="N41" i="15" s="1"/>
  <c r="M16" i="15"/>
  <c r="N16" i="15"/>
  <c r="N47" i="15"/>
  <c r="N81" i="15"/>
  <c r="L53" i="15"/>
  <c r="L46" i="15"/>
  <c r="L31" i="15"/>
  <c r="P24" i="15"/>
  <c r="P27" i="15"/>
  <c r="P82" i="15"/>
  <c r="P67" i="15"/>
  <c r="P66" i="15"/>
  <c r="P65" i="15"/>
  <c r="P63" i="15"/>
  <c r="P34" i="15"/>
  <c r="P46" i="15" s="1"/>
  <c r="P49" i="15"/>
  <c r="P53" i="15" s="1"/>
  <c r="P36" i="15"/>
  <c r="P35" i="15"/>
  <c r="P33" i="15"/>
  <c r="P41" i="15"/>
  <c r="P28" i="15"/>
  <c r="P31" i="15" s="1"/>
  <c r="P17" i="15"/>
  <c r="O77" i="15"/>
  <c r="O63" i="15"/>
  <c r="O53" i="15"/>
  <c r="O46" i="15"/>
  <c r="O31" i="15"/>
  <c r="O11" i="15"/>
  <c r="O82" i="15"/>
  <c r="G77" i="15"/>
  <c r="H77" i="15"/>
  <c r="G63" i="15"/>
  <c r="G53" i="15"/>
  <c r="H63" i="15"/>
  <c r="H53" i="15"/>
  <c r="G46" i="15"/>
  <c r="H46" i="15"/>
  <c r="G31" i="15"/>
  <c r="H31" i="15"/>
  <c r="I32" i="15"/>
  <c r="K32" i="15" s="1"/>
  <c r="I47" i="15"/>
  <c r="K47" i="15" s="1"/>
  <c r="I64" i="15"/>
  <c r="I78" i="15"/>
  <c r="I79" i="15"/>
  <c r="I81" i="15"/>
  <c r="K81" i="15" s="1"/>
  <c r="K83" i="15"/>
  <c r="I16" i="15"/>
  <c r="K16" i="15" s="1"/>
  <c r="G9" i="15"/>
  <c r="G17" i="15" s="1"/>
  <c r="H9" i="15"/>
  <c r="H17" i="15" s="1"/>
  <c r="E85" i="15"/>
  <c r="E75" i="15"/>
  <c r="E74" i="15"/>
  <c r="E71" i="15"/>
  <c r="E69" i="15"/>
  <c r="J62" i="15"/>
  <c r="E60" i="15"/>
  <c r="J58" i="15"/>
  <c r="M58" i="15"/>
  <c r="N58" i="15" s="1"/>
  <c r="J55" i="15"/>
  <c r="J63" i="15"/>
  <c r="E49" i="15"/>
  <c r="J44" i="15"/>
  <c r="M44" i="15" s="1"/>
  <c r="N44" i="15" s="1"/>
  <c r="J39" i="15"/>
  <c r="M39" i="15" s="1"/>
  <c r="E34" i="15"/>
  <c r="J34" i="15"/>
  <c r="M34" i="15"/>
  <c r="N34" i="15"/>
  <c r="J25" i="15"/>
  <c r="J14" i="15"/>
  <c r="M14" i="15"/>
  <c r="N14" i="15"/>
  <c r="E13" i="15"/>
  <c r="I13" i="15" s="1"/>
  <c r="K13" i="15" s="1"/>
  <c r="J10" i="15"/>
  <c r="E10" i="15"/>
  <c r="E9" i="15"/>
  <c r="E11" i="15"/>
  <c r="A3" i="15"/>
  <c r="F8" i="14"/>
  <c r="F9" i="14"/>
  <c r="F10" i="14" s="1"/>
  <c r="F11" i="14" s="1"/>
  <c r="F12" i="14" s="1"/>
  <c r="F13" i="14"/>
  <c r="F14" i="14" s="1"/>
  <c r="E13" i="7"/>
  <c r="H17" i="7"/>
  <c r="I57" i="7"/>
  <c r="I17" i="7"/>
  <c r="E34" i="7"/>
  <c r="P33" i="7"/>
  <c r="L28" i="7"/>
  <c r="E28" i="7" s="1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J17" i="7"/>
  <c r="J36" i="7"/>
  <c r="J57" i="7"/>
  <c r="E39" i="7"/>
  <c r="E37" i="7"/>
  <c r="E38" i="7"/>
  <c r="E40" i="7"/>
  <c r="E41" i="7" s="1"/>
  <c r="E12" i="7"/>
  <c r="E11" i="7"/>
  <c r="E29" i="7"/>
  <c r="E25" i="7"/>
  <c r="E26" i="7" s="1"/>
  <c r="E24" i="7"/>
  <c r="E16" i="7"/>
  <c r="E20" i="7"/>
  <c r="E14" i="7"/>
  <c r="E48" i="7"/>
  <c r="Q47" i="7"/>
  <c r="Q28" i="7"/>
  <c r="E63" i="7"/>
  <c r="E33" i="15"/>
  <c r="I33" i="15" s="1"/>
  <c r="E43" i="13"/>
  <c r="E44" i="13"/>
  <c r="E42" i="13"/>
  <c r="E47" i="13" s="1"/>
  <c r="G47" i="13" s="1"/>
  <c r="E45" i="13"/>
  <c r="E46" i="13"/>
  <c r="E39" i="13"/>
  <c r="A3" i="13"/>
  <c r="K33" i="7"/>
  <c r="K57" i="7" s="1"/>
  <c r="K15" i="7"/>
  <c r="E15" i="7" s="1"/>
  <c r="K17" i="7"/>
  <c r="E45" i="7"/>
  <c r="J75" i="13"/>
  <c r="G75" i="13"/>
  <c r="J73" i="13"/>
  <c r="G73" i="13"/>
  <c r="J9" i="15"/>
  <c r="J17" i="15"/>
  <c r="M49" i="7"/>
  <c r="M31" i="7"/>
  <c r="A3" i="7"/>
  <c r="A4" i="14"/>
  <c r="E53" i="7"/>
  <c r="E54" i="7"/>
  <c r="E55" i="7"/>
  <c r="E27" i="7"/>
  <c r="E30" i="7"/>
  <c r="E32" i="7"/>
  <c r="O57" i="7"/>
  <c r="R57" i="7"/>
  <c r="S57" i="7"/>
  <c r="T57" i="7"/>
  <c r="U57" i="7"/>
  <c r="V57" i="7"/>
  <c r="W57" i="7"/>
  <c r="X57" i="7"/>
  <c r="Y57" i="7"/>
  <c r="Z57" i="7"/>
  <c r="AA57" i="7"/>
  <c r="AB57" i="7"/>
  <c r="E35" i="7"/>
  <c r="E43" i="7"/>
  <c r="E44" i="7"/>
  <c r="E51" i="7"/>
  <c r="E58" i="7"/>
  <c r="E56" i="7"/>
  <c r="P52" i="7"/>
  <c r="E52" i="7" s="1"/>
  <c r="P49" i="7"/>
  <c r="E49" i="7" s="1"/>
  <c r="J76" i="15"/>
  <c r="M76" i="15" s="1"/>
  <c r="N76" i="15"/>
  <c r="J60" i="15"/>
  <c r="M60" i="15"/>
  <c r="N60" i="15" s="1"/>
  <c r="J48" i="15"/>
  <c r="M48" i="15"/>
  <c r="M53" i="15"/>
  <c r="J53" i="15"/>
  <c r="J49" i="15"/>
  <c r="M49" i="15" s="1"/>
  <c r="N49" i="15"/>
  <c r="J50" i="15"/>
  <c r="M50" i="15" s="1"/>
  <c r="N50" i="15" s="1"/>
  <c r="J43" i="15"/>
  <c r="M43" i="15" s="1"/>
  <c r="N43" i="15"/>
  <c r="J22" i="15"/>
  <c r="J20" i="15"/>
  <c r="J30" i="15"/>
  <c r="M30" i="15"/>
  <c r="N30" i="15"/>
  <c r="J21" i="15"/>
  <c r="M21" i="15"/>
  <c r="N21" i="15" s="1"/>
  <c r="J28" i="15"/>
  <c r="M28" i="15" s="1"/>
  <c r="N28" i="15" s="1"/>
  <c r="J26" i="15"/>
  <c r="M26" i="15" s="1"/>
  <c r="N26" i="15" s="1"/>
  <c r="N57" i="7"/>
  <c r="J61" i="15"/>
  <c r="J33" i="15"/>
  <c r="J56" i="15"/>
  <c r="J29" i="15"/>
  <c r="M29" i="15"/>
  <c r="N29" i="15" s="1"/>
  <c r="J23" i="15"/>
  <c r="J38" i="15"/>
  <c r="J52" i="15"/>
  <c r="M52" i="15"/>
  <c r="N52" i="15" s="1"/>
  <c r="J27" i="15"/>
  <c r="M27" i="15"/>
  <c r="N27" i="15"/>
  <c r="J40" i="15"/>
  <c r="M40" i="15"/>
  <c r="N40" i="15" s="1"/>
  <c r="J59" i="15"/>
  <c r="J37" i="15"/>
  <c r="M37" i="15"/>
  <c r="N37" i="15" s="1"/>
  <c r="E44" i="15"/>
  <c r="E15" i="15"/>
  <c r="I15" i="15" s="1"/>
  <c r="K15" i="15" s="1"/>
  <c r="E65" i="15"/>
  <c r="E77" i="15" s="1"/>
  <c r="E14" i="15"/>
  <c r="E50" i="15"/>
  <c r="E41" i="15"/>
  <c r="I41" i="15" s="1"/>
  <c r="K41" i="15" s="1"/>
  <c r="E37" i="15"/>
  <c r="E55" i="15"/>
  <c r="E63" i="15" s="1"/>
  <c r="E43" i="15"/>
  <c r="T27" i="18"/>
  <c r="T58" i="18"/>
  <c r="T74" i="18" s="1"/>
  <c r="T80" i="18" s="1"/>
  <c r="U80" i="18" s="1"/>
  <c r="F78" i="18"/>
  <c r="J78" i="18"/>
  <c r="X13" i="18"/>
  <c r="AA13" i="18"/>
  <c r="W13" i="18"/>
  <c r="Z13" i="18"/>
  <c r="F12" i="13"/>
  <c r="E39" i="15"/>
  <c r="E61" i="15"/>
  <c r="E76" i="15"/>
  <c r="I76" i="15" s="1"/>
  <c r="H68" i="13"/>
  <c r="H35" i="13"/>
  <c r="E40" i="15"/>
  <c r="I40" i="15" s="1"/>
  <c r="K40" i="15" s="1"/>
  <c r="H31" i="13"/>
  <c r="J31" i="13" s="1"/>
  <c r="E36" i="15"/>
  <c r="H30" i="13"/>
  <c r="H18" i="13"/>
  <c r="E82" i="15"/>
  <c r="H74" i="13"/>
  <c r="E70" i="15"/>
  <c r="H62" i="13"/>
  <c r="E66" i="15"/>
  <c r="E62" i="15"/>
  <c r="H51" i="13"/>
  <c r="E45" i="15"/>
  <c r="E38" i="15"/>
  <c r="H23" i="13"/>
  <c r="J23" i="13" s="1"/>
  <c r="F10" i="15"/>
  <c r="H46" i="13"/>
  <c r="H60" i="13"/>
  <c r="E67" i="15"/>
  <c r="I67" i="15" s="1"/>
  <c r="K62" i="13"/>
  <c r="K9" i="13"/>
  <c r="K46" i="13"/>
  <c r="K44" i="13"/>
  <c r="K42" i="13"/>
  <c r="K47" i="13" s="1"/>
  <c r="K23" i="13"/>
  <c r="K16" i="13"/>
  <c r="K25" i="13"/>
  <c r="K65" i="13"/>
  <c r="K71" i="13"/>
  <c r="K53" i="13"/>
  <c r="K49" i="13"/>
  <c r="K56" i="13" s="1"/>
  <c r="K18" i="13"/>
  <c r="K64" i="13"/>
  <c r="I58" i="13"/>
  <c r="I69" i="13" s="1"/>
  <c r="H10" i="15"/>
  <c r="H82" i="15" s="1"/>
  <c r="G10" i="15"/>
  <c r="I74" i="13"/>
  <c r="I44" i="13"/>
  <c r="I46" i="13"/>
  <c r="I77" i="13"/>
  <c r="E24" i="15"/>
  <c r="E48" i="15"/>
  <c r="E53" i="15" s="1"/>
  <c r="H45" i="13"/>
  <c r="F45" i="13"/>
  <c r="F34" i="13"/>
  <c r="G34" i="13" s="1"/>
  <c r="I42" i="13"/>
  <c r="I47" i="13" s="1"/>
  <c r="F35" i="13"/>
  <c r="F61" i="13"/>
  <c r="G61" i="13" s="1"/>
  <c r="F43" i="13"/>
  <c r="F62" i="13"/>
  <c r="G62" i="13" s="1"/>
  <c r="F44" i="13"/>
  <c r="I63" i="13"/>
  <c r="I62" i="13"/>
  <c r="I54" i="13"/>
  <c r="I45" i="13"/>
  <c r="I43" i="13"/>
  <c r="J43" i="13" s="1"/>
  <c r="I9" i="13"/>
  <c r="J9" i="13" s="1"/>
  <c r="I8" i="13"/>
  <c r="I13" i="13" s="1"/>
  <c r="I59" i="13"/>
  <c r="I19" i="13"/>
  <c r="F8" i="13"/>
  <c r="F13" i="13" s="1"/>
  <c r="I60" i="13"/>
  <c r="E52" i="15"/>
  <c r="F54" i="13"/>
  <c r="I33" i="13"/>
  <c r="F52" i="13"/>
  <c r="F31" i="13"/>
  <c r="I49" i="13"/>
  <c r="I56" i="13" s="1"/>
  <c r="F21" i="13"/>
  <c r="G21" i="13" s="1"/>
  <c r="F71" i="13"/>
  <c r="F33" i="13"/>
  <c r="G33" i="13" s="1"/>
  <c r="I17" i="13"/>
  <c r="J17" i="13" s="1"/>
  <c r="F19" i="13"/>
  <c r="G19" i="13" s="1"/>
  <c r="F39" i="13"/>
  <c r="F67" i="13"/>
  <c r="G67" i="13" s="1"/>
  <c r="F60" i="13"/>
  <c r="G60" i="13"/>
  <c r="I39" i="13"/>
  <c r="I68" i="13"/>
  <c r="F58" i="13"/>
  <c r="F18" i="13"/>
  <c r="F29" i="13"/>
  <c r="F53" i="13"/>
  <c r="G53" i="13" s="1"/>
  <c r="I67" i="13"/>
  <c r="J67" i="13" s="1"/>
  <c r="E77" i="13"/>
  <c r="H77" i="13"/>
  <c r="O57" i="22"/>
  <c r="O17" i="15"/>
  <c r="L57" i="22"/>
  <c r="E33" i="7"/>
  <c r="K57" i="22"/>
  <c r="M29" i="18"/>
  <c r="K62" i="18"/>
  <c r="V7" i="18"/>
  <c r="V13" i="18"/>
  <c r="K13" i="26"/>
  <c r="I57" i="22"/>
  <c r="M55" i="18"/>
  <c r="E36" i="7"/>
  <c r="T57" i="22"/>
  <c r="R26" i="22"/>
  <c r="F26" i="22" s="1"/>
  <c r="U49" i="18"/>
  <c r="M49" i="18"/>
  <c r="K25" i="18"/>
  <c r="I10" i="18"/>
  <c r="K10" i="18" s="1"/>
  <c r="B33" i="27"/>
  <c r="M23" i="15"/>
  <c r="N23" i="15"/>
  <c r="B32" i="27"/>
  <c r="B28" i="27"/>
  <c r="B30" i="27"/>
  <c r="B23" i="27"/>
  <c r="B18" i="27"/>
  <c r="B10" i="27"/>
  <c r="B21" i="27"/>
  <c r="B13" i="27"/>
  <c r="B16" i="27"/>
  <c r="B27" i="27"/>
  <c r="B20" i="27"/>
  <c r="B31" i="27"/>
  <c r="B25" i="27"/>
  <c r="B22" i="27"/>
  <c r="G80" i="15"/>
  <c r="B11" i="27"/>
  <c r="B12" i="27"/>
  <c r="B29" i="27"/>
  <c r="B24" i="27"/>
  <c r="B14" i="27"/>
  <c r="G13" i="18"/>
  <c r="Q39" i="18"/>
  <c r="M39" i="18" s="1"/>
  <c r="Q58" i="18"/>
  <c r="M52" i="18"/>
  <c r="M64" i="18"/>
  <c r="F18" i="22"/>
  <c r="D7" i="30"/>
  <c r="C7" i="30" s="1"/>
  <c r="C23" i="30"/>
  <c r="M22" i="15"/>
  <c r="N22" i="15"/>
  <c r="G25" i="17"/>
  <c r="G15" i="27"/>
  <c r="F15" i="27" s="1"/>
  <c r="U27" i="18"/>
  <c r="V58" i="18"/>
  <c r="M71" i="18"/>
  <c r="C27" i="30"/>
  <c r="M11" i="15"/>
  <c r="N11" i="15" s="1"/>
  <c r="M8" i="18"/>
  <c r="C16" i="30"/>
  <c r="G21" i="27"/>
  <c r="F21" i="27" s="1"/>
  <c r="M53" i="18"/>
  <c r="K30" i="18"/>
  <c r="E13" i="18"/>
  <c r="J27" i="18"/>
  <c r="K41" i="18"/>
  <c r="K22" i="18"/>
  <c r="E49" i="18"/>
  <c r="K26" i="18"/>
  <c r="E58" i="18"/>
  <c r="K46" i="18"/>
  <c r="J72" i="18"/>
  <c r="K56" i="18"/>
  <c r="K33" i="18"/>
  <c r="K51" i="18"/>
  <c r="K18" i="18"/>
  <c r="I7" i="18"/>
  <c r="J58" i="18"/>
  <c r="I32" i="18"/>
  <c r="I44" i="18"/>
  <c r="I49" i="18" s="1"/>
  <c r="I60" i="18"/>
  <c r="K60" i="18" s="1"/>
  <c r="K66" i="18"/>
  <c r="K7" i="18"/>
  <c r="M77" i="15"/>
  <c r="N77" i="15" s="1"/>
  <c r="M55" i="15"/>
  <c r="M20" i="15"/>
  <c r="J24" i="13"/>
  <c r="C9" i="30"/>
  <c r="G16" i="27"/>
  <c r="F16" i="27" s="1"/>
  <c r="N39" i="15"/>
  <c r="M67" i="15"/>
  <c r="N67" i="15" s="1"/>
  <c r="N57" i="22"/>
  <c r="M38" i="15"/>
  <c r="N38" i="15" s="1"/>
  <c r="F56" i="13"/>
  <c r="H28" i="30"/>
  <c r="Y27" i="18"/>
  <c r="Q57" i="7"/>
  <c r="E47" i="7"/>
  <c r="W72" i="18"/>
  <c r="L57" i="7"/>
  <c r="J42" i="18"/>
  <c r="K38" i="18"/>
  <c r="M61" i="15"/>
  <c r="N61" i="15"/>
  <c r="N20" i="15"/>
  <c r="M31" i="15"/>
  <c r="P57" i="7"/>
  <c r="O35" i="18"/>
  <c r="P35" i="18" s="1"/>
  <c r="Q35" i="18" s="1"/>
  <c r="N42" i="18"/>
  <c r="V72" i="18"/>
  <c r="N48" i="15"/>
  <c r="K47" i="18"/>
  <c r="M56" i="18"/>
  <c r="M25" i="15"/>
  <c r="N25" i="15" s="1"/>
  <c r="E23" i="29"/>
  <c r="F23" i="29"/>
  <c r="G23" i="29"/>
  <c r="H23" i="29"/>
  <c r="I23" i="29" s="1"/>
  <c r="J23" i="29" s="1"/>
  <c r="K23" i="29" s="1"/>
  <c r="L23" i="29" s="1"/>
  <c r="M23" i="29" s="1"/>
  <c r="N23" i="29" s="1"/>
  <c r="O23" i="29" s="1"/>
  <c r="P23" i="29" s="1"/>
  <c r="Q23" i="29" s="1"/>
  <c r="R23" i="29" s="1"/>
  <c r="S23" i="29" s="1"/>
  <c r="T23" i="29" s="1"/>
  <c r="U23" i="29" s="1"/>
  <c r="V23" i="29" s="1"/>
  <c r="W23" i="29" s="1"/>
  <c r="D22" i="29"/>
  <c r="D7" i="29" s="1"/>
  <c r="M24" i="15"/>
  <c r="N24" i="15"/>
  <c r="K53" i="18"/>
  <c r="M33" i="15"/>
  <c r="M46" i="15" s="1"/>
  <c r="J46" i="15"/>
  <c r="J82" i="15"/>
  <c r="M82" i="15" s="1"/>
  <c r="N82" i="15" s="1"/>
  <c r="M10" i="15"/>
  <c r="N10" i="15" s="1"/>
  <c r="J13" i="18"/>
  <c r="AA27" i="18"/>
  <c r="M70" i="18"/>
  <c r="U58" i="18"/>
  <c r="U74" i="18"/>
  <c r="I34" i="15"/>
  <c r="K34" i="15" s="1"/>
  <c r="Z49" i="18"/>
  <c r="I8" i="18"/>
  <c r="K8" i="18" s="1"/>
  <c r="K13" i="18" s="1"/>
  <c r="V57" i="22"/>
  <c r="R23" i="22"/>
  <c r="F23" i="22"/>
  <c r="M63" i="15"/>
  <c r="N63" i="15" s="1"/>
  <c r="N55" i="15"/>
  <c r="E50" i="7"/>
  <c r="E22" i="29"/>
  <c r="E7" i="29" s="1"/>
  <c r="N33" i="15"/>
  <c r="N46" i="15"/>
  <c r="F15" i="26"/>
  <c r="I28" i="15"/>
  <c r="G27" i="13"/>
  <c r="F46" i="15"/>
  <c r="E56" i="13"/>
  <c r="F25" i="13"/>
  <c r="G21" i="6" l="1"/>
  <c r="K31" i="18"/>
  <c r="K39" i="18"/>
  <c r="K71" i="18"/>
  <c r="I36" i="15"/>
  <c r="K36" i="15" s="1"/>
  <c r="I46" i="15"/>
  <c r="K46" i="15" s="1"/>
  <c r="G58" i="13"/>
  <c r="E13" i="30"/>
  <c r="D13" i="30" s="1"/>
  <c r="G19" i="27" s="1"/>
  <c r="F19" i="27" s="1"/>
  <c r="E6" i="30"/>
  <c r="D6" i="30" s="1"/>
  <c r="C12" i="30"/>
  <c r="K28" i="30"/>
  <c r="G14" i="27"/>
  <c r="F14" i="27" s="1"/>
  <c r="E11" i="30"/>
  <c r="D11" i="30" s="1"/>
  <c r="G23" i="27" s="1"/>
  <c r="F23" i="27" s="1"/>
  <c r="E19" i="30"/>
  <c r="D19" i="30" s="1"/>
  <c r="G25" i="27" s="1"/>
  <c r="F25" i="27" s="1"/>
  <c r="G30" i="27"/>
  <c r="F30" i="27" s="1"/>
  <c r="C24" i="30"/>
  <c r="C17" i="30"/>
  <c r="E10" i="30"/>
  <c r="D10" i="30" s="1"/>
  <c r="E18" i="30"/>
  <c r="D18" i="30" s="1"/>
  <c r="I73" i="15"/>
  <c r="K73" i="15" s="1"/>
  <c r="G36" i="13"/>
  <c r="K10" i="6"/>
  <c r="C9" i="27"/>
  <c r="D9" i="27" s="1"/>
  <c r="B34" i="27"/>
  <c r="G26" i="26"/>
  <c r="I26" i="26" s="1"/>
  <c r="F45" i="6"/>
  <c r="P72" i="18"/>
  <c r="C6" i="30"/>
  <c r="G12" i="27"/>
  <c r="F12" i="27" s="1"/>
  <c r="J74" i="18"/>
  <c r="K32" i="18"/>
  <c r="Q66" i="18"/>
  <c r="Q72" i="18" s="1"/>
  <c r="G42" i="13"/>
  <c r="I58" i="18"/>
  <c r="K58" i="18" s="1"/>
  <c r="Q27" i="18"/>
  <c r="M22" i="18"/>
  <c r="M27" i="18" s="1"/>
  <c r="K28" i="15"/>
  <c r="M62" i="18"/>
  <c r="V74" i="18"/>
  <c r="V80" i="18" s="1"/>
  <c r="M20" i="18"/>
  <c r="K57" i="18"/>
  <c r="L57" i="18"/>
  <c r="AA66" i="18"/>
  <c r="AA72" i="18" s="1"/>
  <c r="L72" i="18"/>
  <c r="E31" i="7"/>
  <c r="E57" i="7" s="1"/>
  <c r="M57" i="7"/>
  <c r="F22" i="29"/>
  <c r="I67" i="18"/>
  <c r="E72" i="18"/>
  <c r="O42" i="18"/>
  <c r="AA74" i="18"/>
  <c r="M35" i="18"/>
  <c r="P27" i="18"/>
  <c r="K44" i="18"/>
  <c r="N66" i="18"/>
  <c r="N72" i="18" s="1"/>
  <c r="M59" i="15"/>
  <c r="N59" i="15" s="1"/>
  <c r="P33" i="18"/>
  <c r="Y72" i="18"/>
  <c r="Y74" i="18" s="1"/>
  <c r="C15" i="30"/>
  <c r="G13" i="27"/>
  <c r="F13" i="27" s="1"/>
  <c r="I35" i="18"/>
  <c r="E42" i="18"/>
  <c r="R66" i="18"/>
  <c r="R72" i="18" s="1"/>
  <c r="R74" i="18" s="1"/>
  <c r="K20" i="15"/>
  <c r="J31" i="15"/>
  <c r="J80" i="15" s="1"/>
  <c r="J84" i="15" s="1"/>
  <c r="J86" i="15" s="1"/>
  <c r="N53" i="15"/>
  <c r="G74" i="18"/>
  <c r="R57" i="22"/>
  <c r="O66" i="18"/>
  <c r="I13" i="18"/>
  <c r="C19" i="30"/>
  <c r="N27" i="18"/>
  <c r="N74" i="18" s="1"/>
  <c r="O27" i="18"/>
  <c r="M38" i="18"/>
  <c r="Z72" i="18"/>
  <c r="E21" i="30"/>
  <c r="D21" i="30" s="1"/>
  <c r="I38" i="15"/>
  <c r="K38" i="15" s="1"/>
  <c r="K76" i="15"/>
  <c r="I50" i="15"/>
  <c r="K50" i="15" s="1"/>
  <c r="I74" i="15"/>
  <c r="K74" i="15" s="1"/>
  <c r="W49" i="18"/>
  <c r="J63" i="13"/>
  <c r="H13" i="13"/>
  <c r="J13" i="13" s="1"/>
  <c r="E14" i="30"/>
  <c r="D14" i="30" s="1"/>
  <c r="E22" i="30"/>
  <c r="D22" i="30" s="1"/>
  <c r="C22" i="30" s="1"/>
  <c r="G44" i="13"/>
  <c r="I59" i="15"/>
  <c r="K59" i="15" s="1"/>
  <c r="C9" i="29"/>
  <c r="D9" i="29" s="1"/>
  <c r="I27" i="18"/>
  <c r="K27" i="18" s="1"/>
  <c r="M23" i="18"/>
  <c r="J34" i="13"/>
  <c r="E26" i="30"/>
  <c r="D26" i="30" s="1"/>
  <c r="E27" i="18"/>
  <c r="R20" i="22"/>
  <c r="F20" i="22" s="1"/>
  <c r="P77" i="15"/>
  <c r="P80" i="15" s="1"/>
  <c r="P84" i="15" s="1"/>
  <c r="F28" i="22"/>
  <c r="E28" i="22" s="1"/>
  <c r="F31" i="22"/>
  <c r="E4" i="30"/>
  <c r="J68" i="13"/>
  <c r="W27" i="18"/>
  <c r="W74" i="18" s="1"/>
  <c r="E5" i="30"/>
  <c r="D5" i="30" s="1"/>
  <c r="L27" i="26"/>
  <c r="K26" i="26"/>
  <c r="F27" i="26"/>
  <c r="F28" i="26" s="1"/>
  <c r="E27" i="26"/>
  <c r="E28" i="26" s="1"/>
  <c r="H27" i="26"/>
  <c r="H28" i="26" s="1"/>
  <c r="I45" i="15"/>
  <c r="K45" i="15" s="1"/>
  <c r="J18" i="13"/>
  <c r="I14" i="26"/>
  <c r="J58" i="13"/>
  <c r="J28" i="13"/>
  <c r="G55" i="13"/>
  <c r="J66" i="13"/>
  <c r="J45" i="13"/>
  <c r="G35" i="13"/>
  <c r="J46" i="13"/>
  <c r="J60" i="13"/>
  <c r="I43" i="15"/>
  <c r="K43" i="15" s="1"/>
  <c r="J54" i="13"/>
  <c r="I51" i="15"/>
  <c r="K51" i="15" s="1"/>
  <c r="J62" i="13"/>
  <c r="H40" i="13"/>
  <c r="J40" i="13" s="1"/>
  <c r="G45" i="13"/>
  <c r="G82" i="15"/>
  <c r="G84" i="15" s="1"/>
  <c r="K26" i="15"/>
  <c r="I71" i="15"/>
  <c r="G64" i="13"/>
  <c r="I56" i="15"/>
  <c r="G29" i="13"/>
  <c r="J33" i="13"/>
  <c r="J51" i="13"/>
  <c r="I23" i="15"/>
  <c r="K23" i="15" s="1"/>
  <c r="G74" i="13"/>
  <c r="L71" i="15"/>
  <c r="M71" i="15" s="1"/>
  <c r="N71" i="15" s="1"/>
  <c r="K71" i="15"/>
  <c r="G43" i="13"/>
  <c r="I14" i="15"/>
  <c r="K14" i="15" s="1"/>
  <c r="I57" i="15"/>
  <c r="K57" i="15" s="1"/>
  <c r="G22" i="13"/>
  <c r="J65" i="13"/>
  <c r="G37" i="13"/>
  <c r="G59" i="13"/>
  <c r="J44" i="13"/>
  <c r="J55" i="13"/>
  <c r="J36" i="13"/>
  <c r="G10" i="13"/>
  <c r="G20" i="13"/>
  <c r="J53" i="13"/>
  <c r="J22" i="13"/>
  <c r="K43" i="6"/>
  <c r="I44" i="15"/>
  <c r="K44" i="15" s="1"/>
  <c r="I60" i="15"/>
  <c r="K60" i="15" s="1"/>
  <c r="G51" i="13"/>
  <c r="G32" i="13"/>
  <c r="J37" i="13"/>
  <c r="G16" i="13"/>
  <c r="J56" i="13"/>
  <c r="I69" i="15"/>
  <c r="K69" i="15" s="1"/>
  <c r="J21" i="13"/>
  <c r="G52" i="13"/>
  <c r="G24" i="13"/>
  <c r="G40" i="13"/>
  <c r="G46" i="13"/>
  <c r="G18" i="13"/>
  <c r="I61" i="15"/>
  <c r="K61" i="15" s="1"/>
  <c r="I22" i="15"/>
  <c r="K22" i="15" s="1"/>
  <c r="I72" i="15"/>
  <c r="K72" i="15" s="1"/>
  <c r="I65" i="15"/>
  <c r="J19" i="13"/>
  <c r="I24" i="15"/>
  <c r="K24" i="15" s="1"/>
  <c r="J59" i="13"/>
  <c r="I70" i="15"/>
  <c r="K70" i="15" s="1"/>
  <c r="J35" i="13"/>
  <c r="J64" i="13"/>
  <c r="K42" i="15"/>
  <c r="G31" i="13"/>
  <c r="I62" i="15"/>
  <c r="L62" i="15" s="1"/>
  <c r="M62" i="15" s="1"/>
  <c r="N62" i="15" s="1"/>
  <c r="G43" i="6"/>
  <c r="I43" i="6" s="1"/>
  <c r="J39" i="13"/>
  <c r="G71" i="13"/>
  <c r="J8" i="13"/>
  <c r="E45" i="6"/>
  <c r="J11" i="13"/>
  <c r="K33" i="15"/>
  <c r="J42" i="13"/>
  <c r="J69" i="13"/>
  <c r="I37" i="15"/>
  <c r="K37" i="15" s="1"/>
  <c r="I30" i="15"/>
  <c r="G63" i="13"/>
  <c r="E25" i="13"/>
  <c r="E72" i="13" s="1"/>
  <c r="E76" i="13" s="1"/>
  <c r="G56" i="13"/>
  <c r="F69" i="13"/>
  <c r="G69" i="13" s="1"/>
  <c r="I52" i="15"/>
  <c r="K52" i="15" s="1"/>
  <c r="I11" i="15"/>
  <c r="K11" i="15" s="1"/>
  <c r="G50" i="13"/>
  <c r="I55" i="15"/>
  <c r="I63" i="15" s="1"/>
  <c r="K63" i="15" s="1"/>
  <c r="J52" i="13"/>
  <c r="J20" i="13"/>
  <c r="G17" i="13"/>
  <c r="G30" i="13"/>
  <c r="I21" i="15"/>
  <c r="K21" i="15" s="1"/>
  <c r="I75" i="15"/>
  <c r="K75" i="15" s="1"/>
  <c r="I25" i="15"/>
  <c r="K25" i="15" s="1"/>
  <c r="G68" i="13"/>
  <c r="G54" i="13"/>
  <c r="I58" i="15"/>
  <c r="K58" i="15" s="1"/>
  <c r="J30" i="13"/>
  <c r="J71" i="13"/>
  <c r="G38" i="13"/>
  <c r="J32" i="13"/>
  <c r="G39" i="13"/>
  <c r="K30" i="15"/>
  <c r="J10" i="13"/>
  <c r="G9" i="13"/>
  <c r="J61" i="13"/>
  <c r="K76" i="13"/>
  <c r="J74" i="13"/>
  <c r="I66" i="15"/>
  <c r="K66" i="15" s="1"/>
  <c r="I39" i="15"/>
  <c r="K39" i="15" s="1"/>
  <c r="I49" i="15"/>
  <c r="K49" i="15" s="1"/>
  <c r="J25" i="13"/>
  <c r="G13" i="13"/>
  <c r="I10" i="15"/>
  <c r="K10" i="15" s="1"/>
  <c r="G65" i="13"/>
  <c r="J47" i="13"/>
  <c r="F80" i="15"/>
  <c r="F84" i="15" s="1"/>
  <c r="I82" i="15"/>
  <c r="K82" i="15" s="1"/>
  <c r="G15" i="26"/>
  <c r="I15" i="26" s="1"/>
  <c r="E46" i="15"/>
  <c r="E80" i="15" s="1"/>
  <c r="E17" i="15"/>
  <c r="I29" i="15"/>
  <c r="K29" i="15" s="1"/>
  <c r="I9" i="15"/>
  <c r="I48" i="15"/>
  <c r="J16" i="13"/>
  <c r="G8" i="13"/>
  <c r="I27" i="15"/>
  <c r="K27" i="15" s="1"/>
  <c r="I72" i="13"/>
  <c r="I76" i="13" s="1"/>
  <c r="I78" i="13" s="1"/>
  <c r="I20" i="15"/>
  <c r="I31" i="15" s="1"/>
  <c r="I68" i="15"/>
  <c r="K68" i="15" s="1"/>
  <c r="J27" i="13"/>
  <c r="J49" i="13"/>
  <c r="I35" i="15"/>
  <c r="K35" i="15" s="1"/>
  <c r="M40" i="18"/>
  <c r="E17" i="7"/>
  <c r="H80" i="15"/>
  <c r="H84" i="15" s="1"/>
  <c r="O80" i="15"/>
  <c r="O84" i="15" s="1"/>
  <c r="O86" i="15" s="1"/>
  <c r="K67" i="15"/>
  <c r="H74" i="18"/>
  <c r="K49" i="18"/>
  <c r="F74" i="18"/>
  <c r="M57" i="22"/>
  <c r="F32" i="22"/>
  <c r="F57" i="22" s="1"/>
  <c r="F62" i="22" s="1"/>
  <c r="C20" i="30"/>
  <c r="G26" i="27"/>
  <c r="G28" i="27"/>
  <c r="F28" i="27" s="1"/>
  <c r="K35" i="18" l="1"/>
  <c r="I42" i="18"/>
  <c r="K42" i="18" s="1"/>
  <c r="K67" i="18"/>
  <c r="I72" i="18"/>
  <c r="C11" i="30"/>
  <c r="C13" i="30"/>
  <c r="G17" i="27"/>
  <c r="F17" i="27" s="1"/>
  <c r="C10" i="30"/>
  <c r="C18" i="30"/>
  <c r="G24" i="27"/>
  <c r="F24" i="27" s="1"/>
  <c r="C10" i="27"/>
  <c r="D10" i="27" s="1"/>
  <c r="F32" i="26" s="1"/>
  <c r="G32" i="26" s="1"/>
  <c r="G32" i="27"/>
  <c r="F32" i="27" s="1"/>
  <c r="C26" i="30"/>
  <c r="N31" i="15"/>
  <c r="I74" i="18"/>
  <c r="K74" i="18" s="1"/>
  <c r="K72" i="18"/>
  <c r="W80" i="18"/>
  <c r="X80" i="18" s="1"/>
  <c r="Y80" i="18" s="1"/>
  <c r="C21" i="30"/>
  <c r="G27" i="27"/>
  <c r="F27" i="27" s="1"/>
  <c r="M66" i="18"/>
  <c r="M72" i="18" s="1"/>
  <c r="E28" i="30"/>
  <c r="D4" i="30"/>
  <c r="P42" i="18"/>
  <c r="P74" i="18" s="1"/>
  <c r="Q33" i="18"/>
  <c r="K31" i="15"/>
  <c r="L58" i="18"/>
  <c r="L74" i="18" s="1"/>
  <c r="L7" i="18" s="1"/>
  <c r="Z57" i="18"/>
  <c r="Z58" i="18" s="1"/>
  <c r="Z74" i="18" s="1"/>
  <c r="O72" i="18"/>
  <c r="O74" i="18" s="1"/>
  <c r="C14" i="30"/>
  <c r="G20" i="27"/>
  <c r="F20" i="27" s="1"/>
  <c r="E62" i="7"/>
  <c r="E64" i="7" s="1"/>
  <c r="G45" i="6"/>
  <c r="J12" i="26" s="1"/>
  <c r="E74" i="18"/>
  <c r="C10" i="29"/>
  <c r="D6" i="29" s="1"/>
  <c r="D10" i="29" s="1"/>
  <c r="E6" i="29" s="1"/>
  <c r="E10" i="29" s="1"/>
  <c r="F6" i="29" s="1"/>
  <c r="C5" i="30"/>
  <c r="G11" i="27"/>
  <c r="F11" i="27" s="1"/>
  <c r="F7" i="29"/>
  <c r="G22" i="29"/>
  <c r="G27" i="26"/>
  <c r="I27" i="26" s="1"/>
  <c r="F72" i="13"/>
  <c r="F76" i="13" s="1"/>
  <c r="F78" i="13" s="1"/>
  <c r="H72" i="13"/>
  <c r="J72" i="13" s="1"/>
  <c r="L56" i="15"/>
  <c r="K56" i="15"/>
  <c r="L77" i="15"/>
  <c r="K62" i="15"/>
  <c r="K65" i="15"/>
  <c r="I77" i="15"/>
  <c r="K77" i="15" s="1"/>
  <c r="K55" i="15"/>
  <c r="G25" i="13"/>
  <c r="E49" i="6"/>
  <c r="E84" i="15"/>
  <c r="E86" i="15" s="1"/>
  <c r="I17" i="15"/>
  <c r="K9" i="15"/>
  <c r="K17" i="15" s="1"/>
  <c r="E78" i="13"/>
  <c r="K48" i="15"/>
  <c r="I53" i="15"/>
  <c r="K53" i="15" s="1"/>
  <c r="F26" i="27"/>
  <c r="N7" i="18"/>
  <c r="R7" i="18"/>
  <c r="R13" i="18" s="1"/>
  <c r="P7" i="18"/>
  <c r="P13" i="18" s="1"/>
  <c r="Q7" i="18"/>
  <c r="Q13" i="18" s="1"/>
  <c r="O7" i="18"/>
  <c r="O13" i="18" s="1"/>
  <c r="L13" i="18"/>
  <c r="Z80" i="18" l="1"/>
  <c r="AA80" i="18" s="1"/>
  <c r="C11" i="27"/>
  <c r="D11" i="27" s="1"/>
  <c r="Q42" i="18"/>
  <c r="Q74" i="18" s="1"/>
  <c r="M33" i="18"/>
  <c r="M42" i="18" s="1"/>
  <c r="M74" i="18" s="1"/>
  <c r="C4" i="30"/>
  <c r="C28" i="30" s="1"/>
  <c r="C29" i="30" s="1"/>
  <c r="G10" i="27"/>
  <c r="D28" i="30"/>
  <c r="G72" i="13"/>
  <c r="F10" i="29"/>
  <c r="G6" i="29" s="1"/>
  <c r="G10" i="29" s="1"/>
  <c r="H6" i="29" s="1"/>
  <c r="G7" i="29"/>
  <c r="H22" i="29"/>
  <c r="G28" i="26"/>
  <c r="H76" i="13"/>
  <c r="J76" i="13" s="1"/>
  <c r="M56" i="15"/>
  <c r="N56" i="15" s="1"/>
  <c r="L63" i="15"/>
  <c r="L80" i="15" s="1"/>
  <c r="L9" i="15" s="1"/>
  <c r="J14" i="26"/>
  <c r="G49" i="6"/>
  <c r="I80" i="15"/>
  <c r="K80" i="15" s="1"/>
  <c r="G76" i="13"/>
  <c r="N13" i="18"/>
  <c r="M7" i="18"/>
  <c r="M13" i="18" s="1"/>
  <c r="D29" i="30" l="1"/>
  <c r="H21" i="6" s="1"/>
  <c r="G9" i="27"/>
  <c r="E9" i="27"/>
  <c r="E10" i="27" s="1"/>
  <c r="K11" i="6"/>
  <c r="C12" i="27"/>
  <c r="D12" i="27" s="1"/>
  <c r="I28" i="26"/>
  <c r="J10" i="26"/>
  <c r="F10" i="27"/>
  <c r="G34" i="27"/>
  <c r="I22" i="29"/>
  <c r="H7" i="29"/>
  <c r="H10" i="29" s="1"/>
  <c r="I6" i="29" s="1"/>
  <c r="H78" i="13"/>
  <c r="M80" i="15"/>
  <c r="N80" i="15" s="1"/>
  <c r="K12" i="26"/>
  <c r="I84" i="15"/>
  <c r="K84" i="15" s="1"/>
  <c r="L17" i="15"/>
  <c r="L84" i="15" s="1"/>
  <c r="M84" i="15" s="1"/>
  <c r="M9" i="15"/>
  <c r="K14" i="6" l="1"/>
  <c r="J21" i="6"/>
  <c r="J45" i="6" s="1"/>
  <c r="K44" i="6"/>
  <c r="F33" i="26"/>
  <c r="E11" i="27"/>
  <c r="H10" i="27"/>
  <c r="I10" i="27" s="1"/>
  <c r="C28" i="27"/>
  <c r="D28" i="27" s="1"/>
  <c r="F34" i="27"/>
  <c r="I7" i="29"/>
  <c r="I10" i="29" s="1"/>
  <c r="J6" i="29" s="1"/>
  <c r="J22" i="29"/>
  <c r="H45" i="6"/>
  <c r="I21" i="6"/>
  <c r="I45" i="6" s="1"/>
  <c r="M17" i="15"/>
  <c r="N9" i="15"/>
  <c r="N17" i="15" s="1"/>
  <c r="K45" i="6" l="1"/>
  <c r="K21" i="6"/>
  <c r="C14" i="27"/>
  <c r="D14" i="27" s="1"/>
  <c r="E12" i="27"/>
  <c r="H11" i="27"/>
  <c r="I11" i="27" s="1"/>
  <c r="G33" i="26"/>
  <c r="F34" i="26"/>
  <c r="G34" i="26" s="1"/>
  <c r="K14" i="26"/>
  <c r="J15" i="26"/>
  <c r="J7" i="29"/>
  <c r="J10" i="29" s="1"/>
  <c r="K6" i="29" s="1"/>
  <c r="K22" i="29"/>
  <c r="C15" i="27" l="1"/>
  <c r="D15" i="27" s="1"/>
  <c r="E28" i="27"/>
  <c r="H12" i="27"/>
  <c r="I12" i="27" s="1"/>
  <c r="J27" i="26"/>
  <c r="K15" i="26"/>
  <c r="K7" i="29"/>
  <c r="K10" i="29" s="1"/>
  <c r="L6" i="29" s="1"/>
  <c r="L22" i="29"/>
  <c r="C16" i="27" l="1"/>
  <c r="D16" i="27" s="1"/>
  <c r="J28" i="26"/>
  <c r="K27" i="26"/>
  <c r="E14" i="27"/>
  <c r="H28" i="27"/>
  <c r="I28" i="27" s="1"/>
  <c r="L10" i="29"/>
  <c r="M6" i="29" s="1"/>
  <c r="M22" i="29"/>
  <c r="L7" i="29"/>
  <c r="C17" i="27" l="1"/>
  <c r="C23" i="27" s="1"/>
  <c r="C18" i="27" s="1"/>
  <c r="E15" i="27"/>
  <c r="H14" i="27"/>
  <c r="I14" i="27" s="1"/>
  <c r="L10" i="26"/>
  <c r="L28" i="26" s="1"/>
  <c r="K28" i="26"/>
  <c r="M7" i="29"/>
  <c r="M10" i="29" s="1"/>
  <c r="N6" i="29" s="1"/>
  <c r="N22" i="29"/>
  <c r="D23" i="27" l="1"/>
  <c r="D17" i="27"/>
  <c r="E16" i="27"/>
  <c r="H15" i="27"/>
  <c r="I15" i="27" s="1"/>
  <c r="N10" i="29"/>
  <c r="O6" i="29" s="1"/>
  <c r="O22" i="29"/>
  <c r="N7" i="29"/>
  <c r="C19" i="27"/>
  <c r="D18" i="27"/>
  <c r="E17" i="27" l="1"/>
  <c r="H16" i="27"/>
  <c r="I16" i="27" s="1"/>
  <c r="O7" i="29"/>
  <c r="P22" i="29"/>
  <c r="O10" i="29"/>
  <c r="P6" i="29" s="1"/>
  <c r="C20" i="27"/>
  <c r="D19" i="27"/>
  <c r="E23" i="27" l="1"/>
  <c r="H17" i="27"/>
  <c r="I17" i="27" s="1"/>
  <c r="Q22" i="29"/>
  <c r="P7" i="29"/>
  <c r="P10" i="29" s="1"/>
  <c r="Q6" i="29" s="1"/>
  <c r="C13" i="27"/>
  <c r="D20" i="27"/>
  <c r="E18" i="27" l="1"/>
  <c r="E19" i="27" s="1"/>
  <c r="H23" i="27"/>
  <c r="I23" i="27" s="1"/>
  <c r="R22" i="29"/>
  <c r="Q7" i="29"/>
  <c r="Q10" i="29" s="1"/>
  <c r="R6" i="29" s="1"/>
  <c r="C21" i="27"/>
  <c r="D13" i="27"/>
  <c r="H18" i="27" l="1"/>
  <c r="I18" i="27" s="1"/>
  <c r="R7" i="29"/>
  <c r="R10" i="29" s="1"/>
  <c r="S6" i="29" s="1"/>
  <c r="S22" i="29"/>
  <c r="D21" i="27"/>
  <c r="C22" i="27"/>
  <c r="E20" i="27" l="1"/>
  <c r="H19" i="27"/>
  <c r="I19" i="27" s="1"/>
  <c r="S7" i="29"/>
  <c r="S10" i="29" s="1"/>
  <c r="T6" i="29" s="1"/>
  <c r="T22" i="29"/>
  <c r="C24" i="27"/>
  <c r="D22" i="27"/>
  <c r="E13" i="27" l="1"/>
  <c r="H20" i="27"/>
  <c r="I20" i="27" s="1"/>
  <c r="U22" i="29"/>
  <c r="T7" i="29"/>
  <c r="T10" i="29" s="1"/>
  <c r="U6" i="29" s="1"/>
  <c r="D24" i="27"/>
  <c r="C25" i="27"/>
  <c r="E21" i="27" l="1"/>
  <c r="H13" i="27"/>
  <c r="I13" i="27" s="1"/>
  <c r="V22" i="29"/>
  <c r="U7" i="29"/>
  <c r="U10" i="29" s="1"/>
  <c r="V6" i="29" s="1"/>
  <c r="C26" i="27"/>
  <c r="D25" i="27"/>
  <c r="E22" i="27" l="1"/>
  <c r="H21" i="27"/>
  <c r="I21" i="27" s="1"/>
  <c r="V7" i="29"/>
  <c r="V10" i="29" s="1"/>
  <c r="W6" i="29" s="1"/>
  <c r="W22" i="29"/>
  <c r="W7" i="29" s="1"/>
  <c r="D26" i="27"/>
  <c r="C27" i="27"/>
  <c r="E24" i="27" l="1"/>
  <c r="H22" i="27"/>
  <c r="I22" i="27" s="1"/>
  <c r="W10" i="29"/>
  <c r="D27" i="27"/>
  <c r="C29" i="27"/>
  <c r="E25" i="27" l="1"/>
  <c r="H24" i="27"/>
  <c r="I24" i="27" s="1"/>
  <c r="D29" i="27"/>
  <c r="C30" i="27"/>
  <c r="E26" i="27" l="1"/>
  <c r="H25" i="27"/>
  <c r="I25" i="27" s="1"/>
  <c r="D30" i="27"/>
  <c r="C31" i="27"/>
  <c r="E27" i="27" l="1"/>
  <c r="H26" i="27"/>
  <c r="I26" i="27" s="1"/>
  <c r="D31" i="27"/>
  <c r="C32" i="27"/>
  <c r="E29" i="27" l="1"/>
  <c r="H27" i="27"/>
  <c r="I27" i="27" s="1"/>
  <c r="D32" i="27"/>
  <c r="C33" i="27"/>
  <c r="E30" i="27" l="1"/>
  <c r="H29" i="27"/>
  <c r="I29" i="27" s="1"/>
  <c r="D33" i="27"/>
  <c r="C34" i="27"/>
  <c r="E31" i="27" l="1"/>
  <c r="H30" i="27"/>
  <c r="I30" i="27" s="1"/>
  <c r="D34" i="27"/>
  <c r="E32" i="27" l="1"/>
  <c r="H31" i="27"/>
  <c r="I31" i="27" s="1"/>
  <c r="E33" i="27" l="1"/>
  <c r="H32" i="27"/>
  <c r="I32" i="27" l="1"/>
  <c r="E34" i="27"/>
  <c r="H33" i="27"/>
  <c r="I33" i="27" s="1"/>
  <c r="I34" i="27" l="1"/>
  <c r="H3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tc={6E27AB20-90FE-4878-84DF-078EDE2A6F84}</author>
  </authors>
  <commentList>
    <comment ref="D37" authorId="0" shapeId="0" xr:uid="{6E27AB20-90FE-4878-84DF-078EDE2A6F8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Principal and Interest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penny</author>
  </authors>
  <commentList>
    <comment ref="F9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penny:</t>
        </r>
        <r>
          <rPr>
            <sz val="9"/>
            <color indexed="81"/>
            <rFont val="Tahoma"/>
            <family val="2"/>
          </rPr>
          <t xml:space="preserve">
budget of 5368000 less settlement with units 43 and 44 of $170,000.  In GL Renovation Phase II funding = funding + transfer net from Phase I + current year interest income
</t>
        </r>
      </text>
    </comment>
    <comment ref="I20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penny:</t>
        </r>
        <r>
          <rPr>
            <sz val="9"/>
            <color indexed="81"/>
            <rFont val="Tahoma"/>
            <family val="2"/>
          </rPr>
          <t xml:space="preserve">
Trash Enclosure
</t>
        </r>
      </text>
    </comment>
  </commentList>
</comments>
</file>

<file path=xl/sharedStrings.xml><?xml version="1.0" encoding="utf-8"?>
<sst xmlns="http://schemas.openxmlformats.org/spreadsheetml/2006/main" count="680" uniqueCount="427">
  <si>
    <t>PILGRIM DOWNS HOMEOWNERS ASSOCIATION</t>
  </si>
  <si>
    <t>OPERATING FUND</t>
  </si>
  <si>
    <t>FYE 2022 PROJECTION AND PROPOSED BUDGET</t>
  </si>
  <si>
    <t>FOR THE  FISCAL YEAR ENDING JULY 31, 2023</t>
  </si>
  <si>
    <t>YTD</t>
  </si>
  <si>
    <t>PROJECTED</t>
  </si>
  <si>
    <t>FYE 07/31/22</t>
  </si>
  <si>
    <t>Projected Variance</t>
  </si>
  <si>
    <t>FYE 07/31/23</t>
  </si>
  <si>
    <t>Variance</t>
  </si>
  <si>
    <t>Actual</t>
  </si>
  <si>
    <t>Next 3 Months</t>
  </si>
  <si>
    <t>Total Fiscal Year</t>
  </si>
  <si>
    <t>Annual Budget</t>
  </si>
  <si>
    <t>Actual to Budget</t>
  </si>
  <si>
    <t>Budget to Budget</t>
  </si>
  <si>
    <t>Revenues</t>
  </si>
  <si>
    <t>8/1/21 to 4/30/22</t>
  </si>
  <si>
    <t>5/1/22 to 7/31/22</t>
  </si>
  <si>
    <t>8/1/21 to 7/31/22</t>
  </si>
  <si>
    <t>$ Over Budget</t>
  </si>
  <si>
    <t>PROPOSED</t>
  </si>
  <si>
    <t>Notes</t>
  </si>
  <si>
    <t>Operating Dues</t>
  </si>
  <si>
    <t>Reserve Dues</t>
  </si>
  <si>
    <t>Special Assessment - Environmental</t>
  </si>
  <si>
    <t>Special Assessment - Ranch House</t>
  </si>
  <si>
    <t>Snow Removal Dues</t>
  </si>
  <si>
    <t>Hay Sales</t>
  </si>
  <si>
    <t>Wild Fire Mitigation Income</t>
  </si>
  <si>
    <t>Expected grant from fire district for up to 50% of fire mitigation expenses</t>
  </si>
  <si>
    <t>Interest Income-Reserve</t>
  </si>
  <si>
    <t>Late Fees</t>
  </si>
  <si>
    <t>Funding From Reserve</t>
  </si>
  <si>
    <t>Sale of Tires</t>
  </si>
  <si>
    <t>Total Income</t>
  </si>
  <si>
    <t>Expense - Operating</t>
  </si>
  <si>
    <t>Accounting</t>
  </si>
  <si>
    <t>Architectural</t>
  </si>
  <si>
    <t>Gate</t>
  </si>
  <si>
    <t>Hay Field</t>
  </si>
  <si>
    <t>Insurance</t>
  </si>
  <si>
    <t>Assuming 3% increase YOY</t>
  </si>
  <si>
    <t>Landscape, Shrubs, Flowers</t>
  </si>
  <si>
    <t>Legal Fees - Ops</t>
  </si>
  <si>
    <t>Miscellaneous Maintenance</t>
  </si>
  <si>
    <t>Includes $4000 for PaintWorks bid proposal for barn painting</t>
  </si>
  <si>
    <t>Office Expense</t>
  </si>
  <si>
    <t>Payroll Taxes</t>
  </si>
  <si>
    <t>Preventative Maint &amp; Road Repairs</t>
  </si>
  <si>
    <t>Ranch Manager Home Gas &amp; Maint</t>
  </si>
  <si>
    <t>Ranch Manager Home Improvements</t>
  </si>
  <si>
    <t>PaintWorks bid proposal for house painting</t>
  </si>
  <si>
    <t>Ranch Manager Boiler/Side-arm Replacement</t>
  </si>
  <si>
    <t>Ranch Manager Home - Mortgage Payment</t>
  </si>
  <si>
    <t>$6,585.98/month</t>
  </si>
  <si>
    <t>Ranch Manager Compensation</t>
  </si>
  <si>
    <t>Snow Removal Supplies</t>
  </si>
  <si>
    <t>Trash &amp; Recycling Collection</t>
  </si>
  <si>
    <t>Truck Fuel, Oil, Lic, Fees, &amp; Maint</t>
  </si>
  <si>
    <t>HOA Meeting</t>
  </si>
  <si>
    <t>Total Operating Expense</t>
  </si>
  <si>
    <t>Transfer to/from Reserves</t>
  </si>
  <si>
    <t>Net Surplus (Deficit) Cash</t>
  </si>
  <si>
    <t>Add Loan Principal Payment</t>
  </si>
  <si>
    <t>Add Purchases</t>
  </si>
  <si>
    <t>Less Depreciation</t>
  </si>
  <si>
    <t>Net Surplus (Deficit)</t>
  </si>
  <si>
    <t>POTATO PATCH CLUB CONDOMINIUM ASSOCIATION</t>
  </si>
  <si>
    <t>VARIANCE ACTUAL TO BUDGET</t>
  </si>
  <si>
    <t>FYE 05/31/16</t>
  </si>
  <si>
    <t>Budget</t>
  </si>
  <si>
    <t>YTD Budget</t>
  </si>
  <si>
    <t>NOTES</t>
  </si>
  <si>
    <t>Operating Assessment</t>
  </si>
  <si>
    <t>$7.51 rounding.  Def. assmt should be $0 at 8/15</t>
  </si>
  <si>
    <t>Reserve Assessment</t>
  </si>
  <si>
    <t>Interest Income-Operating</t>
  </si>
  <si>
    <t>Expense</t>
  </si>
  <si>
    <t>MAINTENANCE/REPAIRS-structures</t>
  </si>
  <si>
    <t>Decks (Repair and Staining)</t>
  </si>
  <si>
    <t>Exterior Doors and Windows</t>
  </si>
  <si>
    <t>General Repairs and Maintenance Labor</t>
  </si>
  <si>
    <t>General Supplies - Maintenance</t>
  </si>
  <si>
    <t>Gutter, Downspout, Soffit Repairs</t>
  </si>
  <si>
    <t>voided ck to Vail Valley Gutter</t>
  </si>
  <si>
    <t>Heat tape, Plumbing, Electrical</t>
  </si>
  <si>
    <t>Painting, Stucco</t>
  </si>
  <si>
    <t>Roof Repairs</t>
  </si>
  <si>
    <t>timing</t>
  </si>
  <si>
    <t>Window Washing</t>
  </si>
  <si>
    <t>Total MAINTENANCE/REPAIRS</t>
  </si>
  <si>
    <t>GROUNDS/MAINTENANCE</t>
  </si>
  <si>
    <t>Fertilizer, Aerate, Sod</t>
  </si>
  <si>
    <t>Flower Gardens (Plants and Labor)</t>
  </si>
  <si>
    <t>Grounds Maint. Electrical</t>
  </si>
  <si>
    <t>Grounds Clean Up</t>
  </si>
  <si>
    <t>Miscellaneous Ground Maintenance</t>
  </si>
  <si>
    <t>Mowing and Trimming</t>
  </si>
  <si>
    <t>Sprinkler Repair</t>
  </si>
  <si>
    <t xml:space="preserve">Supplies - Mulch, Fertilizer, </t>
  </si>
  <si>
    <t>Trash Removal</t>
  </si>
  <si>
    <t>Tree, Shrubs (Trimming and New)</t>
  </si>
  <si>
    <t>Water, Sprinklers</t>
  </si>
  <si>
    <t>Electrical</t>
  </si>
  <si>
    <t>Weed/Tree Spraying</t>
  </si>
  <si>
    <t>Total GROUNDS/MAINTENANCE</t>
  </si>
  <si>
    <t>SNOW REMOVAL</t>
  </si>
  <si>
    <t>Hauling</t>
  </si>
  <si>
    <t>Materials</t>
  </si>
  <si>
    <t>Bill for Enterprise boom, Bronn Trucking recevied in June</t>
  </si>
  <si>
    <t>Roofs and Decks</t>
  </si>
  <si>
    <t>Snow Removal-bid</t>
  </si>
  <si>
    <t>Snow/Ice Removal hrly</t>
  </si>
  <si>
    <t>Total SNOW REMOVAL</t>
  </si>
  <si>
    <t>GENERAL AND ADMINISTRATIVE</t>
  </si>
  <si>
    <t>Audit/Tax Returns</t>
  </si>
  <si>
    <t>Paid Community Assn. Underwriter $20,585.</t>
  </si>
  <si>
    <t>Legal Fees-General Matters</t>
  </si>
  <si>
    <t>Management Fee/Accounting</t>
  </si>
  <si>
    <t>Includes 9/15 mgmt. fee.</t>
  </si>
  <si>
    <t>Meeting Expense</t>
  </si>
  <si>
    <t>Property Taxes</t>
  </si>
  <si>
    <t>Total GENERAL AND ADMINISTRATIVE</t>
  </si>
  <si>
    <t>CLUBHOUSE, POOL AND TENNIS COURTS</t>
  </si>
  <si>
    <t>Clubhouse Cleaning</t>
  </si>
  <si>
    <t>Clubhouse Exterior repair</t>
  </si>
  <si>
    <t>Clubhouse Interior Repair</t>
  </si>
  <si>
    <t>Clubhouse Mechanical Repair</t>
  </si>
  <si>
    <t>Clubhouse Electric</t>
  </si>
  <si>
    <t>Clubhouse Water</t>
  </si>
  <si>
    <t>Clubhouse Gas</t>
  </si>
  <si>
    <t>Pool Cleaning</t>
  </si>
  <si>
    <t>Pool Maintenance/repair</t>
  </si>
  <si>
    <t>Pool Supplies</t>
  </si>
  <si>
    <t>Tennis Court Maintenance</t>
  </si>
  <si>
    <t>Total CLUBHOUSE, POOL AND TENNIS COURTS</t>
  </si>
  <si>
    <t>Contingency</t>
  </si>
  <si>
    <t>Total Expense</t>
  </si>
  <si>
    <t>Transfer to reserve</t>
  </si>
  <si>
    <t>+</t>
  </si>
  <si>
    <t>Potato Patch Club Condominium Association</t>
  </si>
  <si>
    <t>Legal Bill Back - Collections</t>
  </si>
  <si>
    <t>Inception to Date</t>
  </si>
  <si>
    <t>FYE 5/31/15 to Date</t>
  </si>
  <si>
    <t>RKV law Jan Invoice # 25</t>
  </si>
  <si>
    <t>RKV Law Invoice # 77 Thru 2/28/14</t>
  </si>
  <si>
    <t xml:space="preserve"> RKV Law March Inv 119</t>
  </si>
  <si>
    <t>Hindman Sanchez  April</t>
  </si>
  <si>
    <t>RKV Law April</t>
  </si>
  <si>
    <t>Legal Bill Back RKV Law Inv 237</t>
  </si>
  <si>
    <t>Legal Bill Back Ireland Stapelton Inv 73328</t>
  </si>
  <si>
    <t>Legal Bill Back RKV #300</t>
  </si>
  <si>
    <t>Legal Bill Ireland Stapleton 73675</t>
  </si>
  <si>
    <t>RKV Law Inv 317</t>
  </si>
  <si>
    <t>Ireland Staptleton inv 74331</t>
  </si>
  <si>
    <t>Ireland Staptleton inv 75259</t>
  </si>
  <si>
    <t>RKV Law Inv 452</t>
  </si>
  <si>
    <t>Ireland Stapleton Inv 75821</t>
  </si>
  <si>
    <t>Ireland Stapleton Inv 76519</t>
  </si>
  <si>
    <t>Ireland Stapleton Inv 77233</t>
  </si>
  <si>
    <t>Ireland Stapleton Inv use Trust Balance</t>
  </si>
  <si>
    <t>Treece Alfrey Muscat PC (TAM)</t>
  </si>
  <si>
    <t>PRIOR YEARS</t>
  </si>
  <si>
    <t>Jun 2013 - Feb 2014</t>
  </si>
  <si>
    <t>Mar 2014</t>
  </si>
  <si>
    <t>Apr 2014</t>
  </si>
  <si>
    <t>May 2014</t>
  </si>
  <si>
    <t>FYE 05/31/14</t>
  </si>
  <si>
    <t>Variance Actual to Budget</t>
  </si>
  <si>
    <t>FYE 05/31/15</t>
  </si>
  <si>
    <t>Variance Budget to Budget</t>
  </si>
  <si>
    <t>FYE 05/31/13</t>
  </si>
  <si>
    <t>FYE 05/31/12</t>
  </si>
  <si>
    <t>Projection</t>
  </si>
  <si>
    <t>Total</t>
  </si>
  <si>
    <t>Proposed</t>
  </si>
  <si>
    <t>Prelim Actual</t>
  </si>
  <si>
    <t>NOTES PROJECTION</t>
  </si>
  <si>
    <t>NOTES BUDGET</t>
  </si>
  <si>
    <t>$</t>
  </si>
  <si>
    <t>%</t>
  </si>
  <si>
    <t>2013 Assessment Increase</t>
  </si>
  <si>
    <t>Interest Charges -Delinquent Assmts</t>
  </si>
  <si>
    <t>Additional Work in Units</t>
  </si>
  <si>
    <t>Chimney Sweeping</t>
  </si>
  <si>
    <t>Entryway</t>
  </si>
  <si>
    <t>Utility (Heat tape, Plumbing, Electrical)</t>
  </si>
  <si>
    <t>Increase flower budget</t>
  </si>
  <si>
    <t>Per contract</t>
  </si>
  <si>
    <t>Based on past 9 months</t>
  </si>
  <si>
    <t>Utilities</t>
  </si>
  <si>
    <t>Only one Holy Cross Bill in clubhouse</t>
  </si>
  <si>
    <t>Base on Actual Mar - May  2014</t>
  </si>
  <si>
    <t>Contract amount</t>
  </si>
  <si>
    <t>3% increase</t>
  </si>
  <si>
    <t>Legal Fees</t>
  </si>
  <si>
    <t>Average Exp past 9 months</t>
  </si>
  <si>
    <t>Other Professional Fees</t>
  </si>
  <si>
    <t>not sure what this category was for</t>
  </si>
  <si>
    <t>Clubhouse Exterior Repair</t>
  </si>
  <si>
    <t>Clubhouse Utilities</t>
  </si>
  <si>
    <t xml:space="preserve">  Clubhouse Electric</t>
  </si>
  <si>
    <t>Average Exp past 9 months; Actual YTD is 9% higher than same period last year</t>
  </si>
  <si>
    <t xml:space="preserve">  Clubhouse Water</t>
  </si>
  <si>
    <t>March is actual, Apr &amp; May estimated based on Mar</t>
  </si>
  <si>
    <t xml:space="preserve">  Clubhouse Gas</t>
  </si>
  <si>
    <t>Average past 9 months</t>
  </si>
  <si>
    <t>ENVIRONMENTAL RESERVE FUND</t>
  </si>
  <si>
    <t>FOR THE FISCAL YEAR ENDING JULY 31, 2023</t>
  </si>
  <si>
    <t>PROJECTION</t>
  </si>
  <si>
    <t>FYE 7/31/22</t>
  </si>
  <si>
    <t>FYE 7/31/24</t>
  </si>
  <si>
    <t>Beginning Balance</t>
  </si>
  <si>
    <t>Revenues - Reserve</t>
  </si>
  <si>
    <t>Previouse Year Surplus/Deficit (Operating)</t>
  </si>
  <si>
    <t>Previouse Year Surplus (Reserve)</t>
  </si>
  <si>
    <t>Reserve Funding</t>
  </si>
  <si>
    <t>Expense - Reserve</t>
  </si>
  <si>
    <t>Beaver Dam Excavation</t>
  </si>
  <si>
    <t>Dead Tree &amp; Pine Beetle Removal</t>
  </si>
  <si>
    <t>Fire mitigation expenses - will be reimbursed by fire district for 50% up to $7500</t>
  </si>
  <si>
    <t>Ditch &amp; Irrigation Repair</t>
  </si>
  <si>
    <t>Environmental Preservation (Resource Engineering)</t>
  </si>
  <si>
    <t>Legal Fees - Environmental</t>
  </si>
  <si>
    <t>New Community Pond Construction</t>
  </si>
  <si>
    <t>Moved to next FY</t>
  </si>
  <si>
    <t>Pond Maintenance</t>
  </si>
  <si>
    <t>Water Lease</t>
  </si>
  <si>
    <t>Community Landscaping &amp; Furniture</t>
  </si>
  <si>
    <t>Ending Reserve Fund</t>
  </si>
  <si>
    <t>Total Expenses</t>
  </si>
  <si>
    <t>DUES PER QUARTER</t>
  </si>
  <si>
    <t>Environ Reserve Dues</t>
  </si>
  <si>
    <t>TOTAL</t>
  </si>
  <si>
    <t>** SNOW REMOVAL DUES VARY FOR EACH HOMEOWNER FOR THE WINTER QUARTERS</t>
  </si>
  <si>
    <t>FUTURE PROJECTS</t>
  </si>
  <si>
    <t>Estimated Year</t>
  </si>
  <si>
    <t>Estimated Cost</t>
  </si>
  <si>
    <t>North and South Gates</t>
  </si>
  <si>
    <t>Road Resurfacing</t>
  </si>
  <si>
    <t>Tractor</t>
  </si>
  <si>
    <t>Dues Per Unit</t>
  </si>
  <si>
    <t>Owner</t>
  </si>
  <si>
    <t>Caretaker Home Dues</t>
  </si>
  <si>
    <t>Remaining Operating Dues</t>
  </si>
  <si>
    <t>Annual Operating Dues</t>
  </si>
  <si>
    <t>Annual Environ Reserve Dues</t>
  </si>
  <si>
    <t>Snow Removal 50%</t>
  </si>
  <si>
    <t>Annual Snow Removal Dues</t>
  </si>
  <si>
    <t>Quarterly Total Without Snow</t>
  </si>
  <si>
    <t>Quarterly Total With Snow</t>
  </si>
  <si>
    <t>11A - 875 Pilgrim Dr. LLC - Lamy</t>
  </si>
  <si>
    <t>4 -LND Family Realty, LP</t>
  </si>
  <si>
    <t>Baumgartner-9</t>
  </si>
  <si>
    <t>Bennett  - Lot 1</t>
  </si>
  <si>
    <t>Bullock-5</t>
  </si>
  <si>
    <t>Carlson-17*</t>
  </si>
  <si>
    <t>Emich-19</t>
  </si>
  <si>
    <t>Errant-6*</t>
  </si>
  <si>
    <t>Francis-Phase II - 2</t>
  </si>
  <si>
    <t>Francis -  Phase II - 1*</t>
  </si>
  <si>
    <t>Gogel-10</t>
  </si>
  <si>
    <t>Tavani - 14</t>
  </si>
  <si>
    <t>Kinney - II-3</t>
  </si>
  <si>
    <t>Ambwani -7</t>
  </si>
  <si>
    <t>Millett - 16</t>
  </si>
  <si>
    <t>Nuttall-11</t>
  </si>
  <si>
    <t>Quenneville-20</t>
  </si>
  <si>
    <t>Quinton - 12</t>
  </si>
  <si>
    <t>Solomon-3</t>
  </si>
  <si>
    <t>Tacon-13</t>
  </si>
  <si>
    <t>Traylor-2</t>
  </si>
  <si>
    <t>Werthen-18</t>
  </si>
  <si>
    <t>Williams, Roundtree - 8</t>
  </si>
  <si>
    <t>Zinser-15</t>
  </si>
  <si>
    <t>* LOWER OPERATING DUES REFLECT PRIOR UP-FRONT PAYMENT TO ESTABLISH RANCH MANAGER HOME</t>
  </si>
  <si>
    <t>CAPITAL RESERVE PROJECTION</t>
  </si>
  <si>
    <t>Fiscal Year to end June</t>
  </si>
  <si>
    <t>Opening capital reserve</t>
  </si>
  <si>
    <t>Capital dues</t>
  </si>
  <si>
    <t>Loan from Env Reserve</t>
  </si>
  <si>
    <t>Closing capital reserve</t>
  </si>
  <si>
    <t>Capital Item</t>
  </si>
  <si>
    <t>Useful Life</t>
  </si>
  <si>
    <t>Ranch Manager Roof</t>
  </si>
  <si>
    <t>20 years</t>
  </si>
  <si>
    <t>Roads</t>
  </si>
  <si>
    <t>25 years</t>
  </si>
  <si>
    <t>Truck (net of resale)</t>
  </si>
  <si>
    <t>10 years</t>
  </si>
  <si>
    <t>Tractor (net of resale)</t>
  </si>
  <si>
    <t>Other</t>
  </si>
  <si>
    <t>Total expense</t>
  </si>
  <si>
    <t>Capital dues/homeowner</t>
  </si>
  <si>
    <t>Dues increase</t>
  </si>
  <si>
    <t>Owners</t>
  </si>
  <si>
    <t>MAINTENANCE RESERVE CAPITAL - RENOVATION PHASE I</t>
  </si>
  <si>
    <t>Project Costs by Month</t>
  </si>
  <si>
    <t>Beginning</t>
  </si>
  <si>
    <t>Project to date Totals</t>
  </si>
  <si>
    <t>Balance</t>
  </si>
  <si>
    <t>5/31/12 Beginning Renovation Reserve Phase I</t>
  </si>
  <si>
    <t>Funding Renovation Reserve Phase I:</t>
  </si>
  <si>
    <t>Funding - FYE 05/31/12</t>
  </si>
  <si>
    <t>Funding - FYE 05/31/13</t>
  </si>
  <si>
    <t xml:space="preserve"> Transfer net excess at completion to Phase II</t>
  </si>
  <si>
    <t>Current Year Interest Income</t>
  </si>
  <si>
    <t>Current Year Funding:  Assessments</t>
  </si>
  <si>
    <t>Current Year Funding:  Windows</t>
  </si>
  <si>
    <t>Total Funding</t>
  </si>
  <si>
    <t>Credits for Interior paint/drywall/trim work</t>
  </si>
  <si>
    <t>Renovation Phase I Costs:</t>
  </si>
  <si>
    <t>D Zippie</t>
  </si>
  <si>
    <t>McKay &amp; Associates</t>
  </si>
  <si>
    <t>Total Accounting</t>
  </si>
  <si>
    <t xml:space="preserve">Architectural Fees </t>
  </si>
  <si>
    <t>Victor Mark Donaldson</t>
  </si>
  <si>
    <t>Construction Costs</t>
  </si>
  <si>
    <t>G E Johnson</t>
  </si>
  <si>
    <t>Garfield &amp; Hecht</t>
  </si>
  <si>
    <t>Misc Renovation Expense</t>
  </si>
  <si>
    <t xml:space="preserve"> Avalanche - Window washing</t>
  </si>
  <si>
    <t xml:space="preserve"> Food Spoilage, #13, #16</t>
  </si>
  <si>
    <t>Maximum Comfort</t>
  </si>
  <si>
    <t>McNeill Property Management - Misc</t>
  </si>
  <si>
    <t>OAC Management - Reimbursements</t>
  </si>
  <si>
    <t>Total Misc Renovation Exp</t>
  </si>
  <si>
    <t>Interest/Origination Fees Loan</t>
  </si>
  <si>
    <t xml:space="preserve">Origination Fee Alpine Bank </t>
  </si>
  <si>
    <t>Interest on Construction Loan @ 4.25%</t>
  </si>
  <si>
    <t>Project Management</t>
  </si>
  <si>
    <t>OAC Management</t>
  </si>
  <si>
    <t xml:space="preserve">McNeill Property Management </t>
  </si>
  <si>
    <t>Total Project Management</t>
  </si>
  <si>
    <t xml:space="preserve">Permits </t>
  </si>
  <si>
    <t>Town of Vail</t>
  </si>
  <si>
    <t>Windows</t>
  </si>
  <si>
    <t>GE Johnson - Windows</t>
  </si>
  <si>
    <t>Total Renovation Phase I Costs</t>
  </si>
  <si>
    <t>Ending Balance Maintenance Reserve</t>
  </si>
  <si>
    <t>MAINTENANCE RESERVE CAPITAL - RENOVATION PHASE II</t>
  </si>
  <si>
    <t>Prior to May 14</t>
  </si>
  <si>
    <t>Beginning Renovation Reserve Phase II</t>
  </si>
  <si>
    <t xml:space="preserve">Funding - </t>
  </si>
  <si>
    <t>Transfer Net from Phase I</t>
  </si>
  <si>
    <t>Unit Credits for Interior Work</t>
  </si>
  <si>
    <t>Renovation Phase II Costs:</t>
  </si>
  <si>
    <t>Accounting Fees</t>
  </si>
  <si>
    <t>Construction Management Ph II</t>
  </si>
  <si>
    <t>French Drain Project</t>
  </si>
  <si>
    <t>Gore Range Electric</t>
  </si>
  <si>
    <t>Avalanche</t>
  </si>
  <si>
    <t xml:space="preserve">Landscaping </t>
  </si>
  <si>
    <t>Gutter Replacement</t>
  </si>
  <si>
    <t>Vail Valley Gutter</t>
  </si>
  <si>
    <t>Rocky Mtn Custom Landscapes</t>
  </si>
  <si>
    <t xml:space="preserve">Legal Fees </t>
  </si>
  <si>
    <t>Settlement</t>
  </si>
  <si>
    <t>RKV Law</t>
  </si>
  <si>
    <t>Misc. Construction Expenses</t>
  </si>
  <si>
    <t>Avlanche</t>
  </si>
  <si>
    <t>G E Johnson - Snow Removal</t>
  </si>
  <si>
    <t>McNeill Property Management</t>
  </si>
  <si>
    <t>Patriacca Construction</t>
  </si>
  <si>
    <t>Baileys Garage Door</t>
  </si>
  <si>
    <t>Permits &amp; Fees</t>
  </si>
  <si>
    <t>Total Renovation Phase II Costs</t>
  </si>
  <si>
    <t>POTATO PATCH CLUB CONDO ASSOCIATION</t>
  </si>
  <si>
    <t>(A COLORADO NON-PROFIT CORPORATION)</t>
  </si>
  <si>
    <t>Prepaid Insurance</t>
  </si>
  <si>
    <t>Date</t>
  </si>
  <si>
    <t>Vendor</t>
  </si>
  <si>
    <t>Description</t>
  </si>
  <si>
    <t>Debit</t>
  </si>
  <si>
    <t>Credit</t>
  </si>
  <si>
    <t>Prepaid Orkin  1 year</t>
  </si>
  <si>
    <t>Monthly Exp</t>
  </si>
  <si>
    <t>CASH FLOW PROJECTION FYE MAY 2015</t>
  </si>
  <si>
    <t>11/1/2014 Actual To Date</t>
  </si>
  <si>
    <t>Rest of Nov</t>
  </si>
  <si>
    <t>Approved</t>
  </si>
  <si>
    <t>Budget/Estimate</t>
  </si>
  <si>
    <t>Cash Receipts</t>
  </si>
  <si>
    <t>Total Receipts</t>
  </si>
  <si>
    <t>Cash Payments</t>
  </si>
  <si>
    <t>Roof Repairs to 15K</t>
  </si>
  <si>
    <t>Total Cash Payments</t>
  </si>
  <si>
    <t>Change in Accounts Payable</t>
  </si>
  <si>
    <t>Cash in Operating Account</t>
  </si>
  <si>
    <t>Lot</t>
  </si>
  <si>
    <t>Quarterly Snow Assessment</t>
  </si>
  <si>
    <t>Total Snow Assessment</t>
  </si>
  <si>
    <t>Total Snow Footage</t>
  </si>
  <si>
    <t>Driveway Footage</t>
  </si>
  <si>
    <t>Degree of Difficulty</t>
  </si>
  <si>
    <t>Direct Allocated Snow</t>
  </si>
  <si>
    <t>Common Road</t>
  </si>
  <si>
    <t>Common Allocated Snow</t>
  </si>
  <si>
    <t>A</t>
  </si>
  <si>
    <t>B</t>
  </si>
  <si>
    <t>C</t>
  </si>
  <si>
    <t>D</t>
  </si>
  <si>
    <t>F</t>
  </si>
  <si>
    <t>G</t>
  </si>
  <si>
    <t>H</t>
  </si>
  <si>
    <t>I</t>
  </si>
  <si>
    <t>J</t>
  </si>
  <si>
    <t>(B/2)</t>
  </si>
  <si>
    <t>$0.83 (cost per foot) x allocated feet</t>
  </si>
  <si>
    <t>(G+J)</t>
  </si>
  <si>
    <t>(DxF) + E</t>
  </si>
  <si>
    <t>(HxI)</t>
  </si>
  <si>
    <t>11A</t>
  </si>
  <si>
    <t>4 -LND Family Realty, LP (Dorn)</t>
  </si>
  <si>
    <t>Carlson-17</t>
  </si>
  <si>
    <t>Errant-6</t>
  </si>
  <si>
    <t>Forenza-7 ( Image Dental ..Rick Mac</t>
  </si>
  <si>
    <t>PII-2</t>
  </si>
  <si>
    <t>Francis -  Phase II - 1</t>
  </si>
  <si>
    <t>PII-1</t>
  </si>
  <si>
    <t>Kelley/Tavani - 14</t>
  </si>
  <si>
    <t>PII-3</t>
  </si>
  <si>
    <t>Millett, Dr. Peter and Sarah - 16</t>
  </si>
  <si>
    <t>*driveway footage updated per Jim on 2/10/2020</t>
  </si>
  <si>
    <t>TOTAL BUDGET COST</t>
  </si>
  <si>
    <t>$0.83 PER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</si>
</sst>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  <numFmt numFmtId="166" formatCode="_(* #,##0_);_(* \(#,##0\);_(* &quot;-&quot;??_);_(@_)"/>
    <numFmt numFmtId="167" formatCode="m/d/yy;@"/>
    <numFmt numFmtId="168" formatCode="[$-409]mmm\-yy;@"/>
    <numFmt numFmtId="169" formatCode="mm/dd/yy;@"/>
    <numFmt numFmtId="170" formatCode="_-&quot;$&quot;* #,##0_-;\-&quot;$&quot;* #,##0_-;_-&quot;$&quot;* &quot;-&quot;??_-;_-@_-"/>
    <numFmt numFmtId="171" formatCode="&quot;$&quot;#,##0;[Red]\-&quot;$&quot;#,##0"/>
    <numFmt numFmtId="172" formatCode="#,##0_ ;[Red]\-#,##0\ "/>
    <numFmt numFmtId="173" formatCode="#,##0_ ;\-#,##0\ 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Arial"/>
      <family val="2"/>
    </font>
    <font>
      <b/>
      <sz val="12"/>
      <color rgb="FF00008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1" fillId="0" borderId="0"/>
    <xf numFmtId="9" fontId="8" fillId="0" borderId="0" applyFont="0" applyFill="0" applyBorder="0" applyAlignment="0" applyProtection="0"/>
  </cellStyleXfs>
  <cellXfs count="256">
    <xf numFmtId="0" fontId="0" fillId="0" borderId="0" xfId="0"/>
    <xf numFmtId="49" fontId="11" fillId="0" borderId="0" xfId="0" applyNumberFormat="1" applyFont="1"/>
    <xf numFmtId="49" fontId="12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left" indent="1"/>
    </xf>
    <xf numFmtId="166" fontId="0" fillId="0" borderId="0" xfId="0" applyNumberFormat="1"/>
    <xf numFmtId="43" fontId="0" fillId="0" borderId="0" xfId="0" applyNumberFormat="1"/>
    <xf numFmtId="166" fontId="8" fillId="0" borderId="0" xfId="1" applyNumberFormat="1" applyFont="1"/>
    <xf numFmtId="166" fontId="9" fillId="0" borderId="0" xfId="1" applyNumberFormat="1" applyFont="1" applyAlignment="1">
      <alignment horizontal="center"/>
    </xf>
    <xf numFmtId="43" fontId="13" fillId="0" borderId="1" xfId="1" applyFont="1" applyBorder="1"/>
    <xf numFmtId="43" fontId="0" fillId="0" borderId="0" xfId="0" applyNumberFormat="1" applyAlignment="1">
      <alignment horizontal="centerContinuous"/>
    </xf>
    <xf numFmtId="39" fontId="1" fillId="0" borderId="0" xfId="0" applyNumberFormat="1" applyFont="1"/>
    <xf numFmtId="39" fontId="0" fillId="0" borderId="0" xfId="0" applyNumberFormat="1"/>
    <xf numFmtId="3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9" fillId="0" borderId="0" xfId="1" applyFont="1" applyAlignment="1">
      <alignment horizontal="center"/>
    </xf>
    <xf numFmtId="43" fontId="8" fillId="0" borderId="0" xfId="1" applyFont="1" applyBorder="1"/>
    <xf numFmtId="44" fontId="8" fillId="0" borderId="2" xfId="2" applyFont="1" applyBorder="1"/>
    <xf numFmtId="0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6" fontId="8" fillId="2" borderId="0" xfId="1" applyNumberFormat="1" applyFont="1" applyFill="1"/>
    <xf numFmtId="43" fontId="8" fillId="2" borderId="0" xfId="1" applyFont="1" applyFill="1"/>
    <xf numFmtId="43" fontId="8" fillId="2" borderId="0" xfId="1" applyFont="1" applyFill="1" applyBorder="1"/>
    <xf numFmtId="43" fontId="8" fillId="2" borderId="1" xfId="1" applyFont="1" applyFill="1" applyBorder="1"/>
    <xf numFmtId="166" fontId="8" fillId="0" borderId="0" xfId="1" applyNumberFormat="1" applyFont="1" applyFill="1"/>
    <xf numFmtId="166" fontId="3" fillId="0" borderId="0" xfId="1" applyNumberFormat="1" applyFont="1"/>
    <xf numFmtId="166" fontId="3" fillId="0" borderId="0" xfId="1" quotePrefix="1" applyNumberFormat="1" applyFont="1" applyBorder="1" applyAlignment="1">
      <alignment horizontal="center"/>
    </xf>
    <xf numFmtId="166" fontId="4" fillId="0" borderId="0" xfId="1" applyNumberFormat="1" applyFont="1"/>
    <xf numFmtId="166" fontId="4" fillId="0" borderId="0" xfId="1" applyNumberFormat="1" applyFont="1" applyAlignment="1">
      <alignment horizontal="left" indent="2"/>
    </xf>
    <xf numFmtId="166" fontId="4" fillId="2" borderId="0" xfId="1" applyNumberFormat="1" applyFont="1" applyFill="1"/>
    <xf numFmtId="44" fontId="3" fillId="0" borderId="0" xfId="2" applyFont="1" applyAlignment="1">
      <alignment horizontal="left" indent="2"/>
    </xf>
    <xf numFmtId="44" fontId="4" fillId="0" borderId="0" xfId="2" applyFont="1" applyAlignment="1">
      <alignment horizontal="left" indent="2"/>
    </xf>
    <xf numFmtId="43" fontId="4" fillId="0" borderId="0" xfId="1" applyFont="1" applyAlignment="1">
      <alignment horizontal="left" indent="2"/>
    </xf>
    <xf numFmtId="43" fontId="4" fillId="0" borderId="0" xfId="1" applyFont="1"/>
    <xf numFmtId="44" fontId="4" fillId="0" borderId="0" xfId="2" applyFont="1" applyFill="1" applyBorder="1" applyAlignment="1">
      <alignment horizontal="left" indent="2"/>
    </xf>
    <xf numFmtId="43" fontId="4" fillId="0" borderId="0" xfId="1" applyFont="1" applyFill="1" applyBorder="1" applyAlignment="1">
      <alignment horizontal="left" indent="2"/>
    </xf>
    <xf numFmtId="43" fontId="4" fillId="0" borderId="1" xfId="1" applyFont="1" applyFill="1" applyBorder="1" applyAlignment="1">
      <alignment horizontal="left" indent="2"/>
    </xf>
    <xf numFmtId="44" fontId="4" fillId="0" borderId="0" xfId="2" applyFont="1" applyBorder="1" applyAlignment="1">
      <alignment horizontal="left" indent="2"/>
    </xf>
    <xf numFmtId="44" fontId="4" fillId="0" borderId="1" xfId="2" applyFont="1" applyBorder="1" applyAlignment="1">
      <alignment horizontal="left" indent="2"/>
    </xf>
    <xf numFmtId="44" fontId="4" fillId="0" borderId="2" xfId="2" applyFont="1" applyBorder="1" applyAlignment="1">
      <alignment horizontal="left" indent="2"/>
    </xf>
    <xf numFmtId="44" fontId="4" fillId="0" borderId="0" xfId="2" applyFont="1" applyAlignment="1">
      <alignment horizontal="left" indent="4"/>
    </xf>
    <xf numFmtId="166" fontId="4" fillId="0" borderId="0" xfId="1" applyNumberFormat="1" applyFont="1" applyAlignment="1">
      <alignment horizontal="left" indent="4"/>
    </xf>
    <xf numFmtId="166" fontId="3" fillId="2" borderId="0" xfId="1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4" fillId="0" borderId="0" xfId="1" applyNumberFormat="1" applyFont="1" applyFill="1"/>
    <xf numFmtId="168" fontId="3" fillId="2" borderId="0" xfId="1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left" indent="2"/>
    </xf>
    <xf numFmtId="44" fontId="3" fillId="0" borderId="0" xfId="2" applyFont="1" applyFill="1" applyAlignment="1">
      <alignment horizontal="left" indent="2"/>
    </xf>
    <xf numFmtId="43" fontId="8" fillId="2" borderId="2" xfId="1" applyFont="1" applyFill="1" applyBorder="1"/>
    <xf numFmtId="43" fontId="8" fillId="0" borderId="0" xfId="1" applyFont="1" applyFill="1" applyBorder="1"/>
    <xf numFmtId="43" fontId="8" fillId="0" borderId="0" xfId="1" applyFont="1"/>
    <xf numFmtId="43" fontId="8" fillId="0" borderId="0" xfId="1" applyFont="1" applyFill="1"/>
    <xf numFmtId="44" fontId="4" fillId="0" borderId="0" xfId="2" applyFont="1" applyAlignment="1">
      <alignment horizontal="center"/>
    </xf>
    <xf numFmtId="43" fontId="3" fillId="0" borderId="0" xfId="1" applyFont="1" applyFill="1" applyBorder="1" applyAlignment="1">
      <alignment horizontal="left" indent="2"/>
    </xf>
    <xf numFmtId="0" fontId="0" fillId="0" borderId="0" xfId="0" applyAlignment="1">
      <alignment wrapText="1"/>
    </xf>
    <xf numFmtId="44" fontId="3" fillId="0" borderId="0" xfId="2" applyFont="1" applyFill="1" applyBorder="1" applyAlignment="1">
      <alignment horizontal="left" indent="2"/>
    </xf>
    <xf numFmtId="44" fontId="4" fillId="0" borderId="0" xfId="2" applyFont="1" applyFill="1" applyAlignment="1">
      <alignment horizontal="left" indent="2"/>
    </xf>
    <xf numFmtId="43" fontId="4" fillId="0" borderId="0" xfId="1" applyFont="1" applyFill="1" applyAlignment="1">
      <alignment horizontal="left" indent="2"/>
    </xf>
    <xf numFmtId="43" fontId="4" fillId="0" borderId="0" xfId="1" applyFont="1" applyFill="1"/>
    <xf numFmtId="44" fontId="4" fillId="0" borderId="1" xfId="2" applyFont="1" applyFill="1" applyBorder="1" applyAlignment="1">
      <alignment horizontal="left" indent="2"/>
    </xf>
    <xf numFmtId="44" fontId="3" fillId="0" borderId="2" xfId="2" applyFont="1" applyFill="1" applyBorder="1" applyAlignment="1">
      <alignment horizontal="left" indent="2"/>
    </xf>
    <xf numFmtId="43" fontId="3" fillId="0" borderId="0" xfId="1" applyFont="1" applyFill="1"/>
    <xf numFmtId="166" fontId="4" fillId="0" borderId="0" xfId="1" applyNumberFormat="1" applyFont="1" applyFill="1" applyBorder="1"/>
    <xf numFmtId="166" fontId="4" fillId="0" borderId="0" xfId="1" applyNumberFormat="1" applyFont="1" applyFill="1" applyAlignment="1">
      <alignment horizontal="left" indent="4"/>
    </xf>
    <xf numFmtId="43" fontId="4" fillId="0" borderId="0" xfId="1" applyFont="1" applyAlignment="1">
      <alignment horizontal="left" indent="4"/>
    </xf>
    <xf numFmtId="14" fontId="0" fillId="0" borderId="0" xfId="0" applyNumberFormat="1"/>
    <xf numFmtId="166" fontId="9" fillId="0" borderId="0" xfId="1" applyNumberFormat="1" applyFont="1" applyAlignment="1">
      <alignment horizontal="center" wrapText="1"/>
    </xf>
    <xf numFmtId="166" fontId="9" fillId="0" borderId="0" xfId="1" quotePrefix="1" applyNumberFormat="1" applyFont="1" applyAlignment="1">
      <alignment horizontal="center" wrapText="1"/>
    </xf>
    <xf numFmtId="0" fontId="9" fillId="0" borderId="0" xfId="1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"/>
    </xf>
    <xf numFmtId="43" fontId="8" fillId="0" borderId="1" xfId="1" applyFont="1" applyFill="1" applyBorder="1"/>
    <xf numFmtId="0" fontId="9" fillId="3" borderId="0" xfId="1" applyNumberFormat="1" applyFont="1" applyFill="1" applyAlignment="1">
      <alignment horizontal="center"/>
    </xf>
    <xf numFmtId="166" fontId="9" fillId="3" borderId="0" xfId="1" applyNumberFormat="1" applyFont="1" applyFill="1" applyAlignment="1">
      <alignment horizontal="center"/>
    </xf>
    <xf numFmtId="43" fontId="8" fillId="3" borderId="0" xfId="1" applyFont="1" applyFill="1"/>
    <xf numFmtId="43" fontId="8" fillId="3" borderId="0" xfId="1" applyFont="1" applyFill="1" applyBorder="1"/>
    <xf numFmtId="43" fontId="8" fillId="3" borderId="1" xfId="1" applyFont="1" applyFill="1" applyBorder="1"/>
    <xf numFmtId="43" fontId="13" fillId="3" borderId="1" xfId="1" applyFont="1" applyFill="1" applyBorder="1"/>
    <xf numFmtId="44" fontId="8" fillId="3" borderId="2" xfId="2" applyFont="1" applyFill="1" applyBorder="1"/>
    <xf numFmtId="0" fontId="9" fillId="4" borderId="0" xfId="1" applyNumberFormat="1" applyFont="1" applyFill="1" applyAlignment="1">
      <alignment horizontal="center"/>
    </xf>
    <xf numFmtId="166" fontId="9" fillId="4" borderId="0" xfId="1" applyNumberFormat="1" applyFont="1" applyFill="1" applyAlignment="1">
      <alignment horizontal="center"/>
    </xf>
    <xf numFmtId="166" fontId="8" fillId="4" borderId="0" xfId="1" applyNumberFormat="1" applyFont="1" applyFill="1"/>
    <xf numFmtId="43" fontId="8" fillId="4" borderId="0" xfId="1" applyFont="1" applyFill="1"/>
    <xf numFmtId="43" fontId="8" fillId="4" borderId="0" xfId="1" applyFont="1" applyFill="1" applyBorder="1"/>
    <xf numFmtId="43" fontId="8" fillId="4" borderId="1" xfId="1" applyFont="1" applyFill="1" applyBorder="1"/>
    <xf numFmtId="43" fontId="13" fillId="4" borderId="1" xfId="1" applyFont="1" applyFill="1" applyBorder="1"/>
    <xf numFmtId="44" fontId="8" fillId="4" borderId="2" xfId="2" applyFont="1" applyFill="1" applyBorder="1"/>
    <xf numFmtId="0" fontId="9" fillId="2" borderId="0" xfId="1" applyNumberFormat="1" applyFont="1" applyFill="1" applyAlignment="1">
      <alignment horizontal="center" wrapText="1"/>
    </xf>
    <xf numFmtId="9" fontId="8" fillId="2" borderId="0" xfId="5" applyFont="1" applyFill="1" applyAlignment="1">
      <alignment horizontal="center"/>
    </xf>
    <xf numFmtId="9" fontId="8" fillId="2" borderId="1" xfId="5" applyFont="1" applyFill="1" applyBorder="1" applyAlignment="1">
      <alignment horizontal="center"/>
    </xf>
    <xf numFmtId="43" fontId="8" fillId="5" borderId="0" xfId="1" applyFont="1" applyFill="1"/>
    <xf numFmtId="166" fontId="8" fillId="5" borderId="0" xfId="1" applyNumberFormat="1" applyFont="1" applyFill="1"/>
    <xf numFmtId="166" fontId="3" fillId="0" borderId="0" xfId="1" applyNumberFormat="1" applyFont="1" applyAlignment="1">
      <alignment horizontal="center"/>
    </xf>
    <xf numFmtId="166" fontId="3" fillId="2" borderId="0" xfId="1" applyNumberFormat="1" applyFont="1" applyFill="1" applyAlignment="1">
      <alignment horizontal="left" indent="2"/>
    </xf>
    <xf numFmtId="166" fontId="4" fillId="0" borderId="1" xfId="1" applyNumberFormat="1" applyFont="1" applyBorder="1" applyAlignment="1">
      <alignment horizontal="left" indent="2"/>
    </xf>
    <xf numFmtId="166" fontId="4" fillId="0" borderId="1" xfId="1" applyNumberFormat="1" applyFont="1" applyBorder="1"/>
    <xf numFmtId="166" fontId="3" fillId="0" borderId="0" xfId="1" applyNumberFormat="1" applyFont="1" applyAlignment="1">
      <alignment horizontal="left" indent="2"/>
    </xf>
    <xf numFmtId="166" fontId="4" fillId="0" borderId="0" xfId="1" applyNumberFormat="1" applyFont="1" applyFill="1" applyBorder="1" applyAlignment="1">
      <alignment horizontal="left" indent="2"/>
    </xf>
    <xf numFmtId="166" fontId="4" fillId="0" borderId="1" xfId="1" applyNumberFormat="1" applyFont="1" applyFill="1" applyBorder="1" applyAlignment="1">
      <alignment horizontal="left" indent="2"/>
    </xf>
    <xf numFmtId="166" fontId="4" fillId="0" borderId="1" xfId="1" applyNumberFormat="1" applyFont="1" applyFill="1" applyBorder="1"/>
    <xf numFmtId="166" fontId="3" fillId="0" borderId="0" xfId="1" applyNumberFormat="1" applyFont="1" applyFill="1" applyBorder="1" applyAlignment="1">
      <alignment horizontal="left" indent="2"/>
    </xf>
    <xf numFmtId="166" fontId="4" fillId="0" borderId="0" xfId="1" applyNumberFormat="1" applyFont="1" applyBorder="1" applyAlignment="1">
      <alignment horizontal="left" indent="2"/>
    </xf>
    <xf numFmtId="168" fontId="9" fillId="0" borderId="0" xfId="1" applyNumberFormat="1" applyFont="1" applyAlignment="1">
      <alignment horizontal="center"/>
    </xf>
    <xf numFmtId="17" fontId="9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0" fillId="0" borderId="1" xfId="0" applyBorder="1"/>
    <xf numFmtId="49" fontId="14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11" fillId="0" borderId="0" xfId="0" applyNumberFormat="1" applyFont="1"/>
    <xf numFmtId="49" fontId="15" fillId="0" borderId="0" xfId="0" applyNumberFormat="1" applyFont="1"/>
    <xf numFmtId="164" fontId="15" fillId="0" borderId="0" xfId="0" applyNumberFormat="1" applyFont="1"/>
    <xf numFmtId="165" fontId="0" fillId="0" borderId="0" xfId="0" applyNumberFormat="1"/>
    <xf numFmtId="165" fontId="15" fillId="0" borderId="0" xfId="0" applyNumberFormat="1" applyFont="1"/>
    <xf numFmtId="165" fontId="11" fillId="0" borderId="0" xfId="0" applyNumberFormat="1" applyFont="1"/>
    <xf numFmtId="44" fontId="8" fillId="0" borderId="2" xfId="2" applyFont="1" applyFill="1" applyBorder="1"/>
    <xf numFmtId="43" fontId="15" fillId="0" borderId="0" xfId="1" applyFont="1" applyFill="1"/>
    <xf numFmtId="44" fontId="3" fillId="2" borderId="0" xfId="2" applyFont="1" applyFill="1" applyAlignment="1">
      <alignment horizontal="left" indent="2"/>
    </xf>
    <xf numFmtId="44" fontId="4" fillId="2" borderId="0" xfId="2" applyFont="1" applyFill="1" applyAlignment="1">
      <alignment horizontal="left" indent="2"/>
    </xf>
    <xf numFmtId="43" fontId="4" fillId="2" borderId="0" xfId="1" applyFont="1" applyFill="1" applyAlignment="1">
      <alignment horizontal="left" indent="2"/>
    </xf>
    <xf numFmtId="43" fontId="4" fillId="2" borderId="0" xfId="1" applyFont="1" applyFill="1" applyBorder="1" applyAlignment="1">
      <alignment horizontal="left" indent="2"/>
    </xf>
    <xf numFmtId="43" fontId="4" fillId="2" borderId="1" xfId="1" applyFont="1" applyFill="1" applyBorder="1" applyAlignment="1">
      <alignment horizontal="left" indent="2"/>
    </xf>
    <xf numFmtId="169" fontId="15" fillId="0" borderId="0" xfId="0" applyNumberFormat="1" applyFont="1"/>
    <xf numFmtId="17" fontId="9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11" fillId="0" borderId="2" xfId="0" applyFont="1" applyBorder="1"/>
    <xf numFmtId="166" fontId="8" fillId="0" borderId="2" xfId="1" applyNumberFormat="1" applyFont="1" applyBorder="1"/>
    <xf numFmtId="166" fontId="8" fillId="0" borderId="2" xfId="1" applyNumberFormat="1" applyFont="1" applyFill="1" applyBorder="1"/>
    <xf numFmtId="43" fontId="8" fillId="0" borderId="2" xfId="1" applyFont="1" applyBorder="1"/>
    <xf numFmtId="0" fontId="0" fillId="0" borderId="2" xfId="0" applyBorder="1"/>
    <xf numFmtId="43" fontId="0" fillId="0" borderId="2" xfId="0" applyNumberFormat="1" applyBorder="1"/>
    <xf numFmtId="43" fontId="9" fillId="0" borderId="0" xfId="1" applyFont="1"/>
    <xf numFmtId="43" fontId="9" fillId="0" borderId="2" xfId="1" applyFont="1" applyBorder="1"/>
    <xf numFmtId="166" fontId="4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left"/>
    </xf>
    <xf numFmtId="44" fontId="0" fillId="0" borderId="0" xfId="0" applyNumberFormat="1"/>
    <xf numFmtId="43" fontId="4" fillId="0" borderId="0" xfId="1" applyFont="1" applyBorder="1" applyAlignment="1">
      <alignment horizontal="left" indent="2"/>
    </xf>
    <xf numFmtId="43" fontId="4" fillId="0" borderId="0" xfId="1" applyFont="1" applyBorder="1" applyAlignment="1">
      <alignment horizontal="left" indent="4"/>
    </xf>
    <xf numFmtId="43" fontId="8" fillId="0" borderId="1" xfId="1" applyFont="1" applyBorder="1"/>
    <xf numFmtId="166" fontId="8" fillId="0" borderId="0" xfId="1" applyNumberFormat="1" applyFont="1" applyBorder="1"/>
    <xf numFmtId="0" fontId="9" fillId="2" borderId="0" xfId="0" applyFont="1" applyFill="1" applyAlignment="1">
      <alignment horizontal="center"/>
    </xf>
    <xf numFmtId="0" fontId="0" fillId="2" borderId="0" xfId="0" applyFill="1"/>
    <xf numFmtId="43" fontId="0" fillId="2" borderId="0" xfId="0" applyNumberFormat="1" applyFill="1"/>
    <xf numFmtId="43" fontId="0" fillId="2" borderId="1" xfId="0" applyNumberFormat="1" applyFill="1" applyBorder="1"/>
    <xf numFmtId="43" fontId="16" fillId="0" borderId="1" xfId="1" applyFont="1" applyBorder="1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/>
    <xf numFmtId="49" fontId="1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textRotation="45"/>
    </xf>
    <xf numFmtId="43" fontId="0" fillId="0" borderId="1" xfId="0" applyNumberFormat="1" applyBorder="1"/>
    <xf numFmtId="0" fontId="9" fillId="0" borderId="0" xfId="0" applyFont="1" applyAlignment="1">
      <alignment textRotation="45"/>
    </xf>
    <xf numFmtId="166" fontId="20" fillId="0" borderId="0" xfId="1" applyNumberFormat="1" applyFont="1" applyAlignment="1">
      <alignment horizontal="center"/>
    </xf>
    <xf numFmtId="0" fontId="20" fillId="0" borderId="0" xfId="0" applyFont="1" applyAlignment="1">
      <alignment horizontal="center"/>
    </xf>
    <xf numFmtId="43" fontId="10" fillId="0" borderId="0" xfId="1" applyFont="1"/>
    <xf numFmtId="43" fontId="1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0" fontId="9" fillId="6" borderId="0" xfId="1" applyNumberFormat="1" applyFont="1" applyFill="1" applyAlignment="1">
      <alignment horizontal="center"/>
    </xf>
    <xf numFmtId="166" fontId="9" fillId="6" borderId="0" xfId="1" applyNumberFormat="1" applyFont="1" applyFill="1" applyAlignment="1">
      <alignment horizontal="center"/>
    </xf>
    <xf numFmtId="43" fontId="8" fillId="6" borderId="0" xfId="1" applyFont="1" applyFill="1"/>
    <xf numFmtId="43" fontId="8" fillId="6" borderId="0" xfId="1" applyFont="1" applyFill="1" applyBorder="1"/>
    <xf numFmtId="43" fontId="8" fillId="6" borderId="1" xfId="1" applyFont="1" applyFill="1" applyBorder="1"/>
    <xf numFmtId="43" fontId="16" fillId="6" borderId="1" xfId="1" applyFont="1" applyFill="1" applyBorder="1"/>
    <xf numFmtId="43" fontId="8" fillId="6" borderId="2" xfId="1" applyFont="1" applyFill="1" applyBorder="1"/>
    <xf numFmtId="43" fontId="10" fillId="0" borderId="0" xfId="1" applyFont="1" applyFill="1" applyBorder="1"/>
    <xf numFmtId="43" fontId="10" fillId="0" borderId="0" xfId="1" applyFont="1" applyFill="1"/>
    <xf numFmtId="43" fontId="10" fillId="0" borderId="1" xfId="1" applyFont="1" applyFill="1" applyBorder="1"/>
    <xf numFmtId="49" fontId="19" fillId="0" borderId="0" xfId="0" applyNumberFormat="1" applyFont="1" applyAlignment="1">
      <alignment horizontal="center"/>
    </xf>
    <xf numFmtId="43" fontId="8" fillId="0" borderId="0" xfId="2" applyNumberFormat="1" applyFont="1" applyBorder="1" applyAlignment="1"/>
    <xf numFmtId="0" fontId="17" fillId="0" borderId="0" xfId="0" applyFont="1" applyAlignment="1">
      <alignment horizontal="left" indent="1"/>
    </xf>
    <xf numFmtId="170" fontId="8" fillId="0" borderId="0" xfId="2" applyNumberFormat="1" applyFont="1"/>
    <xf numFmtId="170" fontId="8" fillId="0" borderId="0" xfId="2" applyNumberFormat="1" applyFont="1" applyAlignment="1">
      <alignment horizontal="center"/>
    </xf>
    <xf numFmtId="171" fontId="8" fillId="5" borderId="0" xfId="2" applyNumberFormat="1" applyFont="1" applyFill="1"/>
    <xf numFmtId="171" fontId="8" fillId="0" borderId="0" xfId="2" applyNumberFormat="1" applyFont="1"/>
    <xf numFmtId="170" fontId="22" fillId="0" borderId="0" xfId="2" applyNumberFormat="1" applyFont="1"/>
    <xf numFmtId="170" fontId="22" fillId="0" borderId="0" xfId="2" applyNumberFormat="1" applyFont="1" applyAlignment="1">
      <alignment horizontal="center"/>
    </xf>
    <xf numFmtId="171" fontId="22" fillId="0" borderId="0" xfId="2" applyNumberFormat="1" applyFont="1"/>
    <xf numFmtId="172" fontId="22" fillId="0" borderId="0" xfId="2" applyNumberFormat="1" applyFont="1"/>
    <xf numFmtId="172" fontId="22" fillId="0" borderId="0" xfId="2" applyNumberFormat="1" applyFont="1" applyAlignment="1">
      <alignment horizontal="center"/>
    </xf>
    <xf numFmtId="172" fontId="8" fillId="0" borderId="0" xfId="2" applyNumberFormat="1" applyFont="1"/>
    <xf numFmtId="172" fontId="8" fillId="0" borderId="0" xfId="2" applyNumberFormat="1" applyFont="1" applyAlignment="1">
      <alignment horizontal="center"/>
    </xf>
    <xf numFmtId="171" fontId="8" fillId="0" borderId="0" xfId="2" applyNumberFormat="1" applyFont="1" applyFill="1"/>
    <xf numFmtId="9" fontId="8" fillId="5" borderId="0" xfId="2" applyNumberFormat="1" applyFont="1" applyFill="1"/>
    <xf numFmtId="9" fontId="8" fillId="0" borderId="0" xfId="2" applyNumberFormat="1" applyFont="1"/>
    <xf numFmtId="173" fontId="8" fillId="0" borderId="0" xfId="2" applyNumberFormat="1" applyFont="1" applyAlignment="1">
      <alignment horizontal="center"/>
    </xf>
    <xf numFmtId="173" fontId="8" fillId="5" borderId="0" xfId="2" applyNumberFormat="1" applyFont="1" applyFill="1"/>
    <xf numFmtId="173" fontId="8" fillId="0" borderId="0" xfId="2" applyNumberFormat="1" applyFont="1"/>
    <xf numFmtId="0" fontId="16" fillId="0" borderId="0" xfId="0" applyFont="1"/>
    <xf numFmtId="0" fontId="23" fillId="0" borderId="0" xfId="0" applyFont="1"/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39" fontId="0" fillId="0" borderId="1" xfId="0" applyNumberFormat="1" applyBorder="1"/>
    <xf numFmtId="37" fontId="0" fillId="0" borderId="0" xfId="0" applyNumberFormat="1"/>
    <xf numFmtId="3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6" fontId="8" fillId="0" borderId="1" xfId="1" applyNumberFormat="1" applyFont="1" applyBorder="1"/>
    <xf numFmtId="0" fontId="0" fillId="2" borderId="1" xfId="0" applyFill="1" applyBorder="1"/>
    <xf numFmtId="166" fontId="9" fillId="0" borderId="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8" fillId="0" borderId="1" xfId="2" applyNumberFormat="1" applyFont="1" applyBorder="1" applyAlignment="1"/>
    <xf numFmtId="0" fontId="9" fillId="0" borderId="0" xfId="1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166" fontId="20" fillId="6" borderId="1" xfId="1" applyNumberFormat="1" applyFont="1" applyFill="1" applyBorder="1" applyAlignment="1">
      <alignment horizontal="center"/>
    </xf>
    <xf numFmtId="43" fontId="20" fillId="0" borderId="2" xfId="1" applyFont="1" applyBorder="1"/>
    <xf numFmtId="43" fontId="9" fillId="6" borderId="2" xfId="1" applyFont="1" applyFill="1" applyBorder="1"/>
    <xf numFmtId="43" fontId="9" fillId="2" borderId="2" xfId="0" applyNumberFormat="1" applyFont="1" applyFill="1" applyBorder="1"/>
    <xf numFmtId="43" fontId="10" fillId="0" borderId="0" xfId="0" applyNumberFormat="1" applyFont="1"/>
    <xf numFmtId="43" fontId="10" fillId="0" borderId="1" xfId="0" applyNumberFormat="1" applyFont="1" applyBorder="1"/>
    <xf numFmtId="43" fontId="20" fillId="0" borderId="2" xfId="0" applyNumberFormat="1" applyFont="1" applyBorder="1"/>
    <xf numFmtId="0" fontId="20" fillId="0" borderId="1" xfId="0" applyFont="1" applyBorder="1"/>
    <xf numFmtId="43" fontId="10" fillId="5" borderId="0" xfId="0" applyNumberFormat="1" applyFont="1" applyFill="1"/>
    <xf numFmtId="43" fontId="10" fillId="5" borderId="1" xfId="0" applyNumberFormat="1" applyFont="1" applyFill="1" applyBorder="1"/>
    <xf numFmtId="43" fontId="8" fillId="5" borderId="0" xfId="1" applyFont="1" applyFill="1" applyAlignment="1"/>
    <xf numFmtId="43" fontId="8" fillId="5" borderId="0" xfId="1" applyFont="1" applyFill="1" applyBorder="1" applyAlignment="1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indent="1"/>
    </xf>
    <xf numFmtId="43" fontId="8" fillId="0" borderId="5" xfId="1" applyFont="1" applyBorder="1"/>
    <xf numFmtId="0" fontId="8" fillId="0" borderId="0" xfId="1" applyNumberFormat="1" applyFont="1" applyAlignment="1">
      <alignment horizontal="center"/>
    </xf>
    <xf numFmtId="43" fontId="9" fillId="5" borderId="2" xfId="1" applyFont="1" applyFill="1" applyBorder="1"/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43" fontId="10" fillId="0" borderId="5" xfId="1" applyFont="1" applyBorder="1"/>
    <xf numFmtId="43" fontId="8" fillId="0" borderId="5" xfId="1" applyFont="1" applyFill="1" applyBorder="1"/>
    <xf numFmtId="43" fontId="8" fillId="6" borderId="5" xfId="1" applyFont="1" applyFill="1" applyBorder="1"/>
    <xf numFmtId="43" fontId="8" fillId="2" borderId="5" xfId="1" applyFont="1" applyFill="1" applyBorder="1"/>
    <xf numFmtId="0" fontId="9" fillId="0" borderId="1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0" applyFont="1" applyAlignment="1">
      <alignment wrapText="1"/>
    </xf>
    <xf numFmtId="43" fontId="8" fillId="0" borderId="0" xfId="1" applyFont="1" applyAlignment="1">
      <alignment wrapText="1"/>
    </xf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8" fillId="0" borderId="4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/>
    <xf numFmtId="167" fontId="3" fillId="0" borderId="0" xfId="1" applyNumberFormat="1" applyFont="1" applyBorder="1" applyAlignment="1">
      <alignment horizontal="left"/>
    </xf>
    <xf numFmtId="167" fontId="3" fillId="0" borderId="0" xfId="1" quotePrefix="1" applyNumberFormat="1" applyFont="1" applyBorder="1" applyAlignment="1">
      <alignment horizontal="left"/>
    </xf>
    <xf numFmtId="43" fontId="1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39" fontId="1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AD-PC/Users/Public/Documents/Associations/Potato%20Patch/Work%20Papers/Jun%202014%20-%20May%202015%20working%20papers/2015%20FYE%20Budget%20P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Summary Rec"/>
      <sheetName val="Balance Sheet"/>
      <sheetName val="Income Statement"/>
      <sheetName val="Variance"/>
      <sheetName val=" Budget FYE 2015"/>
      <sheetName val="Budget Spread"/>
      <sheetName val="Budget operating"/>
      <sheetName val="Maintenance Reserve"/>
      <sheetName val="Renovation Res Phs I"/>
      <sheetName val="Sheet2"/>
      <sheetName val="Sheet3"/>
      <sheetName val="Renovation Res Phs II"/>
      <sheetName val="Budget Captial Reserve"/>
      <sheetName val="Pre pd Ins"/>
      <sheetName val="Prepaid Exp"/>
    </sheetNames>
    <sheetDataSet>
      <sheetData sheetId="0"/>
      <sheetData sheetId="1"/>
      <sheetData sheetId="2">
        <row r="9">
          <cell r="E9">
            <v>32882.660000000003</v>
          </cell>
          <cell r="H9">
            <v>295943.94</v>
          </cell>
        </row>
        <row r="10">
          <cell r="F10">
            <v>1950.67</v>
          </cell>
          <cell r="H10">
            <v>17556.04</v>
          </cell>
        </row>
        <row r="12">
          <cell r="H12">
            <v>-10700.19</v>
          </cell>
        </row>
        <row r="14">
          <cell r="H14">
            <v>11.98</v>
          </cell>
        </row>
        <row r="15">
          <cell r="H15">
            <v>29.06</v>
          </cell>
        </row>
        <row r="21">
          <cell r="H21">
            <v>2191.9</v>
          </cell>
        </row>
        <row r="23">
          <cell r="H23">
            <v>0</v>
          </cell>
        </row>
        <row r="24">
          <cell r="H24">
            <v>19260.3</v>
          </cell>
        </row>
        <row r="25">
          <cell r="H25">
            <v>1356.58</v>
          </cell>
        </row>
        <row r="26">
          <cell r="H26">
            <v>8005.29</v>
          </cell>
        </row>
        <row r="27">
          <cell r="H27">
            <v>9709.2999999999993</v>
          </cell>
        </row>
        <row r="28">
          <cell r="H28">
            <v>618.75</v>
          </cell>
        </row>
        <row r="29">
          <cell r="H29">
            <v>19590</v>
          </cell>
        </row>
        <row r="30">
          <cell r="H30">
            <v>2355</v>
          </cell>
        </row>
        <row r="33">
          <cell r="H33">
            <v>2487.59</v>
          </cell>
        </row>
        <row r="34">
          <cell r="H34">
            <v>31135.57</v>
          </cell>
        </row>
        <row r="35">
          <cell r="H35">
            <v>4054.26</v>
          </cell>
        </row>
        <row r="36">
          <cell r="H36">
            <v>13137.47</v>
          </cell>
        </row>
        <row r="37">
          <cell r="H37">
            <v>15417</v>
          </cell>
        </row>
        <row r="38">
          <cell r="H38">
            <v>14024.4</v>
          </cell>
        </row>
        <row r="39">
          <cell r="H39">
            <v>5442.22</v>
          </cell>
        </row>
        <row r="40">
          <cell r="H40">
            <v>6099.22</v>
          </cell>
        </row>
        <row r="41">
          <cell r="H41">
            <v>8739.5499999999993</v>
          </cell>
        </row>
        <row r="44">
          <cell r="H44">
            <v>8938.3799999999992</v>
          </cell>
        </row>
        <row r="45">
          <cell r="H45">
            <v>5746</v>
          </cell>
        </row>
        <row r="49">
          <cell r="H49">
            <v>65.52</v>
          </cell>
        </row>
        <row r="50">
          <cell r="H50">
            <v>11696</v>
          </cell>
        </row>
        <row r="51">
          <cell r="H51">
            <v>14400</v>
          </cell>
        </row>
        <row r="52">
          <cell r="H52">
            <v>7203.5</v>
          </cell>
        </row>
        <row r="55">
          <cell r="H55">
            <v>275</v>
          </cell>
        </row>
        <row r="56">
          <cell r="H56">
            <v>29920</v>
          </cell>
        </row>
        <row r="57">
          <cell r="H57">
            <v>11961.07</v>
          </cell>
        </row>
        <row r="58">
          <cell r="H58">
            <v>17624.8</v>
          </cell>
        </row>
        <row r="59">
          <cell r="H59">
            <v>1971.44</v>
          </cell>
        </row>
        <row r="60">
          <cell r="H60">
            <v>3070.15</v>
          </cell>
        </row>
        <row r="62">
          <cell r="H62">
            <v>6122.64</v>
          </cell>
        </row>
        <row r="65">
          <cell r="H65">
            <v>915</v>
          </cell>
        </row>
        <row r="67">
          <cell r="H67">
            <v>314.2</v>
          </cell>
        </row>
        <row r="70">
          <cell r="H70">
            <v>4854.04</v>
          </cell>
        </row>
        <row r="71">
          <cell r="H71">
            <v>4419.3</v>
          </cell>
        </row>
        <row r="72">
          <cell r="H72">
            <v>6918.84</v>
          </cell>
        </row>
        <row r="73">
          <cell r="H73">
            <v>6400</v>
          </cell>
        </row>
        <row r="74">
          <cell r="H74">
            <v>2727.95</v>
          </cell>
        </row>
        <row r="75">
          <cell r="H75">
            <v>2217.16</v>
          </cell>
        </row>
        <row r="76">
          <cell r="H76">
            <v>687</v>
          </cell>
        </row>
        <row r="85">
          <cell r="H85">
            <v>-15080.75</v>
          </cell>
        </row>
      </sheetData>
      <sheetData sheetId="3"/>
      <sheetData sheetId="4"/>
      <sheetData sheetId="5"/>
      <sheetData sheetId="6">
        <row r="8">
          <cell r="S8">
            <v>394591.92000000016</v>
          </cell>
        </row>
        <row r="12">
          <cell r="S12">
            <v>120</v>
          </cell>
        </row>
        <row r="17">
          <cell r="S17">
            <v>1800</v>
          </cell>
        </row>
        <row r="18">
          <cell r="S18">
            <v>7250</v>
          </cell>
        </row>
        <row r="19">
          <cell r="S19">
            <v>3000</v>
          </cell>
        </row>
        <row r="20">
          <cell r="S20">
            <v>1500</v>
          </cell>
        </row>
        <row r="21">
          <cell r="S21">
            <v>4500</v>
          </cell>
        </row>
        <row r="22">
          <cell r="S22">
            <v>1750</v>
          </cell>
        </row>
        <row r="23">
          <cell r="S23">
            <v>6700</v>
          </cell>
        </row>
        <row r="24">
          <cell r="S24">
            <v>600</v>
          </cell>
        </row>
        <row r="25">
          <cell r="S25">
            <v>8000</v>
          </cell>
        </row>
        <row r="26">
          <cell r="S26">
            <v>3600</v>
          </cell>
        </row>
        <row r="27">
          <cell r="S27">
            <v>6050</v>
          </cell>
        </row>
        <row r="30">
          <cell r="S30">
            <v>4100</v>
          </cell>
        </row>
        <row r="31">
          <cell r="S31">
            <v>33000</v>
          </cell>
        </row>
        <row r="32">
          <cell r="S32">
            <v>9000</v>
          </cell>
        </row>
        <row r="33">
          <cell r="S33">
            <v>4150</v>
          </cell>
        </row>
        <row r="34">
          <cell r="S34">
            <v>18800</v>
          </cell>
        </row>
        <row r="35">
          <cell r="S35">
            <v>18350</v>
          </cell>
        </row>
        <row r="36">
          <cell r="S36">
            <v>2750</v>
          </cell>
        </row>
        <row r="37">
          <cell r="S37">
            <v>11100</v>
          </cell>
        </row>
        <row r="39">
          <cell r="S39">
            <v>0</v>
          </cell>
        </row>
        <row r="40">
          <cell r="S40">
            <v>1200</v>
          </cell>
        </row>
        <row r="41">
          <cell r="S41">
            <v>12950</v>
          </cell>
        </row>
        <row r="42">
          <cell r="S42">
            <v>8500</v>
          </cell>
        </row>
        <row r="45">
          <cell r="S45">
            <v>1200</v>
          </cell>
        </row>
        <row r="46">
          <cell r="S46">
            <v>850</v>
          </cell>
        </row>
        <row r="47">
          <cell r="S47">
            <v>13000</v>
          </cell>
        </row>
        <row r="48">
          <cell r="S48">
            <v>18000</v>
          </cell>
        </row>
        <row r="49">
          <cell r="S49">
            <v>10000</v>
          </cell>
        </row>
        <row r="52">
          <cell r="S52">
            <v>500</v>
          </cell>
        </row>
        <row r="53">
          <cell r="S53">
            <v>40000</v>
          </cell>
        </row>
        <row r="54">
          <cell r="S54">
            <v>15000</v>
          </cell>
        </row>
        <row r="55">
          <cell r="S55">
            <v>22800</v>
          </cell>
        </row>
        <row r="56">
          <cell r="S56">
            <v>2400</v>
          </cell>
        </row>
        <row r="57">
          <cell r="S57">
            <v>3310</v>
          </cell>
        </row>
        <row r="59">
          <cell r="S59">
            <v>5750</v>
          </cell>
        </row>
        <row r="64">
          <cell r="S64">
            <v>1000</v>
          </cell>
        </row>
        <row r="65">
          <cell r="S65">
            <v>1200</v>
          </cell>
        </row>
        <row r="74">
          <cell r="S74">
            <v>3000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AC8">
            <v>23408.04</v>
          </cell>
        </row>
      </sheetData>
      <sheetData sheetId="13"/>
      <sheetData sheetId="1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yla Corbett" id="{ABB72550-8912-4BE4-A9D4-31E4D9992987}" userId="S::kayla@cpaso.com::8de610c5-1d66-4355-a83e-2211e04ae41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7" dT="2022-04-29T15:07:16.60" personId="{ABB72550-8912-4BE4-A9D4-31E4D9992987}" id="{6E27AB20-90FE-4878-84DF-078EDE2A6F84}">
    <text xml:space="preserve">Principal and Interest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6"/>
  <sheetViews>
    <sheetView tabSelected="1" zoomScaleNormal="100" workbookViewId="0">
      <selection activeCell="J20" sqref="J20"/>
    </sheetView>
  </sheetViews>
  <sheetFormatPr baseColWidth="10" defaultColWidth="8.83203125" defaultRowHeight="15" x14ac:dyDescent="0.2"/>
  <cols>
    <col min="1" max="1" width="0.6640625" style="3" customWidth="1"/>
    <col min="2" max="2" width="0.33203125" style="3" customWidth="1"/>
    <col min="3" max="3" width="1.83203125" style="3" customWidth="1"/>
    <col min="4" max="4" width="39.33203125" style="3" customWidth="1"/>
    <col min="5" max="7" width="16.33203125" style="9" customWidth="1"/>
    <col min="8" max="8" width="15.5" style="9" bestFit="1" customWidth="1"/>
    <col min="9" max="9" width="18.83203125" style="9" bestFit="1" customWidth="1"/>
    <col min="10" max="10" width="15.5" bestFit="1" customWidth="1"/>
    <col min="11" max="11" width="18.5" customWidth="1"/>
    <col min="12" max="12" width="42.5" style="57" customWidth="1"/>
    <col min="13" max="14" width="11.5" bestFit="1" customWidth="1"/>
    <col min="15" max="15" width="10.5" bestFit="1" customWidth="1"/>
  </cols>
  <sheetData>
    <row r="1" spans="1:15" ht="20" x14ac:dyDescent="0.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5" ht="20" x14ac:dyDescent="0.2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5" ht="21" customHeight="1" x14ac:dyDescent="0.2">
      <c r="A3" s="241" t="s">
        <v>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5" ht="20" x14ac:dyDescent="0.2">
      <c r="A4" s="241" t="s">
        <v>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5" ht="9.75" customHeight="1" x14ac:dyDescent="0.2">
      <c r="A5" s="2"/>
      <c r="B5" s="1"/>
      <c r="C5" s="1"/>
      <c r="D5" s="1"/>
    </row>
    <row r="6" spans="1:15" x14ac:dyDescent="0.2">
      <c r="A6" s="2"/>
      <c r="B6" s="1"/>
      <c r="C6" s="1"/>
      <c r="D6" s="1"/>
    </row>
    <row r="7" spans="1:15" x14ac:dyDescent="0.2">
      <c r="A7" s="1"/>
      <c r="B7" s="1"/>
      <c r="C7" s="1"/>
      <c r="D7" s="1"/>
      <c r="E7" s="10" t="s">
        <v>4</v>
      </c>
      <c r="F7" s="154" t="s">
        <v>5</v>
      </c>
      <c r="G7" s="154" t="s">
        <v>5</v>
      </c>
      <c r="H7" s="20" t="s">
        <v>6</v>
      </c>
      <c r="I7" s="154" t="s">
        <v>7</v>
      </c>
      <c r="J7" s="160" t="s">
        <v>8</v>
      </c>
      <c r="K7" s="22" t="s">
        <v>9</v>
      </c>
    </row>
    <row r="8" spans="1:15" s="5" customFormat="1" x14ac:dyDescent="0.2">
      <c r="A8" s="4"/>
      <c r="B8" s="4"/>
      <c r="C8" s="4"/>
      <c r="D8" s="4"/>
      <c r="E8" s="21" t="s">
        <v>10</v>
      </c>
      <c r="F8" s="155" t="s">
        <v>11</v>
      </c>
      <c r="G8" s="155" t="s">
        <v>12</v>
      </c>
      <c r="H8" s="10" t="s">
        <v>13</v>
      </c>
      <c r="I8" s="155" t="s">
        <v>14</v>
      </c>
      <c r="J8" s="161" t="s">
        <v>13</v>
      </c>
      <c r="K8" s="22" t="s">
        <v>15</v>
      </c>
      <c r="L8" s="194"/>
    </row>
    <row r="9" spans="1:15" ht="16" x14ac:dyDescent="0.2">
      <c r="A9" s="148"/>
      <c r="B9" s="148" t="s">
        <v>16</v>
      </c>
      <c r="C9" s="148"/>
      <c r="D9" s="148"/>
      <c r="E9" s="193" t="s">
        <v>17</v>
      </c>
      <c r="F9" s="192" t="s">
        <v>18</v>
      </c>
      <c r="G9" s="192" t="s">
        <v>19</v>
      </c>
      <c r="H9" s="202"/>
      <c r="I9" s="192" t="s">
        <v>20</v>
      </c>
      <c r="J9" s="206" t="s">
        <v>21</v>
      </c>
      <c r="K9" s="203"/>
      <c r="L9" s="235" t="s">
        <v>22</v>
      </c>
    </row>
    <row r="10" spans="1:15" x14ac:dyDescent="0.2">
      <c r="A10" s="148"/>
      <c r="B10" s="148"/>
      <c r="C10" s="148"/>
      <c r="D10" s="148" t="s">
        <v>23</v>
      </c>
      <c r="E10" s="54">
        <v>216247.86</v>
      </c>
      <c r="F10" s="156">
        <v>72082.62</v>
      </c>
      <c r="G10" s="156">
        <f t="shared" ref="G10:G20" si="0">SUM(E10:F10)</f>
        <v>288330.48</v>
      </c>
      <c r="H10" s="54">
        <v>288330</v>
      </c>
      <c r="I10" s="156">
        <f>G10-H10</f>
        <v>0.47999999998137355</v>
      </c>
      <c r="J10" s="162">
        <f>J43-J14-J15-J19</f>
        <v>288330.00199999998</v>
      </c>
      <c r="K10" s="25">
        <f>J10-H10</f>
        <v>1.9999999785795808E-3</v>
      </c>
      <c r="M10" s="8"/>
      <c r="N10" s="8"/>
      <c r="O10" s="8"/>
    </row>
    <row r="11" spans="1:15" x14ac:dyDescent="0.2">
      <c r="A11" s="148"/>
      <c r="B11" s="148"/>
      <c r="C11" s="148"/>
      <c r="D11" s="148" t="s">
        <v>24</v>
      </c>
      <c r="E11" s="53">
        <v>43011.360000000001</v>
      </c>
      <c r="F11" s="157">
        <v>14337.12</v>
      </c>
      <c r="G11" s="156">
        <f>SUM(E11:F11)</f>
        <v>57348.480000000003</v>
      </c>
      <c r="H11" s="52">
        <v>57348.25</v>
      </c>
      <c r="I11" s="156">
        <f t="shared" ref="I11:I20" si="1">G11-H11</f>
        <v>0.23000000000320142</v>
      </c>
      <c r="J11" s="162">
        <v>57348.25</v>
      </c>
      <c r="K11" s="25">
        <f t="shared" ref="K11:K20" si="2">J11-H11</f>
        <v>0</v>
      </c>
    </row>
    <row r="12" spans="1:15" x14ac:dyDescent="0.2">
      <c r="A12" s="148"/>
      <c r="B12" s="148"/>
      <c r="C12" s="148"/>
      <c r="D12" s="148" t="s">
        <v>25</v>
      </c>
      <c r="E12" s="53">
        <v>108000</v>
      </c>
      <c r="F12" s="157">
        <v>36000</v>
      </c>
      <c r="G12" s="156">
        <f t="shared" ref="G12:G13" si="3">SUM(E12:F12)</f>
        <v>144000</v>
      </c>
      <c r="H12" s="52">
        <v>144000</v>
      </c>
      <c r="I12" s="156">
        <f t="shared" si="1"/>
        <v>0</v>
      </c>
      <c r="J12" s="162">
        <v>0</v>
      </c>
      <c r="K12" s="25">
        <f t="shared" si="2"/>
        <v>-144000</v>
      </c>
    </row>
    <row r="13" spans="1:15" x14ac:dyDescent="0.2">
      <c r="A13" s="148"/>
      <c r="B13" s="148"/>
      <c r="C13" s="148"/>
      <c r="D13" s="148" t="s">
        <v>26</v>
      </c>
      <c r="E13" s="53">
        <v>22500</v>
      </c>
      <c r="F13" s="157">
        <v>7500</v>
      </c>
      <c r="G13" s="156">
        <f t="shared" si="3"/>
        <v>30000</v>
      </c>
      <c r="H13" s="52">
        <v>30000</v>
      </c>
      <c r="I13" s="156">
        <f t="shared" si="1"/>
        <v>0</v>
      </c>
      <c r="J13" s="162">
        <v>0</v>
      </c>
      <c r="K13" s="25">
        <f>J13-H13</f>
        <v>-30000</v>
      </c>
    </row>
    <row r="14" spans="1:15" x14ac:dyDescent="0.2">
      <c r="A14" s="148"/>
      <c r="B14" s="148"/>
      <c r="C14" s="148"/>
      <c r="D14" s="148" t="s">
        <v>27</v>
      </c>
      <c r="E14" s="53">
        <v>70401.02</v>
      </c>
      <c r="F14" s="157">
        <v>0</v>
      </c>
      <c r="G14" s="156">
        <f>SUM(E14:F14)</f>
        <v>70401.02</v>
      </c>
      <c r="H14" s="52">
        <v>70401.100000000006</v>
      </c>
      <c r="I14" s="156">
        <f t="shared" si="1"/>
        <v>-8.000000000174623E-2</v>
      </c>
      <c r="J14" s="162">
        <f>'Snow Removal Dues'!D28</f>
        <v>70401.098000000013</v>
      </c>
      <c r="K14" s="25">
        <f t="shared" si="2"/>
        <v>-1.999999993131496E-3</v>
      </c>
      <c r="O14" s="8"/>
    </row>
    <row r="15" spans="1:15" x14ac:dyDescent="0.2">
      <c r="A15" s="148"/>
      <c r="B15" s="148"/>
      <c r="C15" s="148"/>
      <c r="D15" s="148" t="s">
        <v>28</v>
      </c>
      <c r="E15" s="53">
        <v>856</v>
      </c>
      <c r="F15" s="157">
        <v>0</v>
      </c>
      <c r="G15" s="156">
        <f>SUM(E15:F15)</f>
        <v>856</v>
      </c>
      <c r="H15" s="52">
        <v>1000</v>
      </c>
      <c r="I15" s="156">
        <f t="shared" si="1"/>
        <v>-144</v>
      </c>
      <c r="J15" s="162">
        <v>1000</v>
      </c>
      <c r="K15" s="25">
        <f t="shared" si="2"/>
        <v>0</v>
      </c>
    </row>
    <row r="16" spans="1:15" ht="32" x14ac:dyDescent="0.2">
      <c r="A16" s="148"/>
      <c r="B16" s="148"/>
      <c r="C16" s="148"/>
      <c r="D16" s="148" t="s">
        <v>29</v>
      </c>
      <c r="E16" s="53"/>
      <c r="F16" s="156">
        <v>2500</v>
      </c>
      <c r="G16" s="156">
        <f t="shared" ref="G16" si="4">SUM(E16:F16)</f>
        <v>2500</v>
      </c>
      <c r="H16" s="54"/>
      <c r="I16" s="156">
        <f t="shared" ref="I16" si="5">G16-H16</f>
        <v>2500</v>
      </c>
      <c r="J16" s="162">
        <v>3000</v>
      </c>
      <c r="K16" s="25">
        <f t="shared" ref="K16" si="6">J16-H16</f>
        <v>3000</v>
      </c>
      <c r="L16" s="236" t="s">
        <v>30</v>
      </c>
    </row>
    <row r="17" spans="1:12" x14ac:dyDescent="0.2">
      <c r="A17" s="148"/>
      <c r="B17" s="148"/>
      <c r="C17" s="148"/>
      <c r="D17" s="148" t="s">
        <v>31</v>
      </c>
      <c r="E17" s="53">
        <v>18.440000000000001</v>
      </c>
      <c r="F17" s="156">
        <v>11</v>
      </c>
      <c r="G17" s="156">
        <f t="shared" si="0"/>
        <v>29.44</v>
      </c>
      <c r="H17" s="54">
        <v>30</v>
      </c>
      <c r="I17" s="156">
        <f t="shared" si="1"/>
        <v>-0.55999999999999872</v>
      </c>
      <c r="J17" s="162">
        <v>30</v>
      </c>
      <c r="K17" s="25">
        <f t="shared" si="2"/>
        <v>0</v>
      </c>
    </row>
    <row r="18" spans="1:12" x14ac:dyDescent="0.2">
      <c r="A18" s="148"/>
      <c r="B18" s="148"/>
      <c r="C18" s="148"/>
      <c r="D18" s="148" t="s">
        <v>32</v>
      </c>
      <c r="E18" s="53"/>
      <c r="F18" s="156">
        <v>0</v>
      </c>
      <c r="G18" s="156">
        <f t="shared" si="0"/>
        <v>0</v>
      </c>
      <c r="H18" s="54"/>
      <c r="I18" s="156">
        <f t="shared" si="1"/>
        <v>0</v>
      </c>
      <c r="J18" s="162">
        <v>0</v>
      </c>
      <c r="K18" s="25">
        <f t="shared" si="2"/>
        <v>0</v>
      </c>
    </row>
    <row r="19" spans="1:12" x14ac:dyDescent="0.2">
      <c r="A19" s="148"/>
      <c r="B19" s="148"/>
      <c r="C19" s="148"/>
      <c r="D19" s="148" t="s">
        <v>33</v>
      </c>
      <c r="E19" s="53">
        <v>2498.9</v>
      </c>
      <c r="F19" s="156">
        <v>0</v>
      </c>
      <c r="G19" s="156">
        <f t="shared" si="0"/>
        <v>2498.9</v>
      </c>
      <c r="H19" s="54">
        <v>2498.9</v>
      </c>
      <c r="I19" s="156">
        <f t="shared" si="1"/>
        <v>0</v>
      </c>
      <c r="J19" s="162">
        <v>32610.9</v>
      </c>
      <c r="K19" s="25">
        <f>J19-H19</f>
        <v>30112</v>
      </c>
    </row>
    <row r="20" spans="1:12" x14ac:dyDescent="0.2">
      <c r="A20" s="148"/>
      <c r="B20" s="148"/>
      <c r="C20" s="148"/>
      <c r="D20" s="148" t="s">
        <v>34</v>
      </c>
      <c r="E20" s="146">
        <v>600</v>
      </c>
      <c r="F20" s="158">
        <v>0</v>
      </c>
      <c r="G20" s="158">
        <f t="shared" si="0"/>
        <v>600</v>
      </c>
      <c r="H20" s="73">
        <v>0</v>
      </c>
      <c r="I20" s="158">
        <f t="shared" si="1"/>
        <v>600</v>
      </c>
      <c r="J20" s="164">
        <v>0</v>
      </c>
      <c r="K20" s="26">
        <f t="shared" si="2"/>
        <v>0</v>
      </c>
    </row>
    <row r="21" spans="1:12" x14ac:dyDescent="0.2">
      <c r="A21" s="148"/>
      <c r="B21" s="148"/>
      <c r="C21" s="148" t="s">
        <v>35</v>
      </c>
      <c r="D21" s="148"/>
      <c r="E21" s="53">
        <f>SUM(E10:E20)</f>
        <v>464133.58</v>
      </c>
      <c r="F21" s="156">
        <f>SUM(F10:F20)</f>
        <v>132430.74</v>
      </c>
      <c r="G21" s="156">
        <f>SUM(E21:F21)</f>
        <v>596564.32000000007</v>
      </c>
      <c r="H21" s="53">
        <f>SUM(H10:H20)</f>
        <v>593608.25</v>
      </c>
      <c r="I21" s="156">
        <f>G21-H21</f>
        <v>2956.0700000000652</v>
      </c>
      <c r="J21" s="162">
        <f>SUM(J10:J20)</f>
        <v>452720.25</v>
      </c>
      <c r="K21" s="24">
        <f>J21-H21</f>
        <v>-140888</v>
      </c>
    </row>
    <row r="22" spans="1:12" ht="18.75" customHeight="1" x14ac:dyDescent="0.2">
      <c r="A22" s="148"/>
      <c r="B22" s="148" t="s">
        <v>36</v>
      </c>
      <c r="C22" s="148"/>
      <c r="D22" s="148"/>
      <c r="E22" s="53"/>
      <c r="F22" s="53"/>
      <c r="G22" s="156"/>
      <c r="H22" s="53"/>
      <c r="I22" s="156"/>
      <c r="J22" s="162"/>
      <c r="K22" s="24"/>
    </row>
    <row r="23" spans="1:12" x14ac:dyDescent="0.2">
      <c r="A23" s="148"/>
      <c r="B23" s="148"/>
      <c r="C23" s="148"/>
      <c r="D23" s="148" t="s">
        <v>37</v>
      </c>
      <c r="E23" s="53">
        <v>7560</v>
      </c>
      <c r="F23" s="156">
        <f>840*3</f>
        <v>2520</v>
      </c>
      <c r="G23" s="156">
        <f t="shared" ref="G23:G44" si="7">SUM(E23:F23)</f>
        <v>10080</v>
      </c>
      <c r="H23" s="54">
        <v>10080</v>
      </c>
      <c r="I23" s="156">
        <f t="shared" ref="I23:I42" si="8">G23-H23</f>
        <v>0</v>
      </c>
      <c r="J23" s="162">
        <v>13092</v>
      </c>
      <c r="K23" s="25">
        <f t="shared" ref="K23:K42" si="9">J23-H23</f>
        <v>3012</v>
      </c>
    </row>
    <row r="24" spans="1:12" x14ac:dyDescent="0.2">
      <c r="A24" s="148"/>
      <c r="B24" s="148"/>
      <c r="C24" s="148"/>
      <c r="D24" s="148" t="s">
        <v>38</v>
      </c>
      <c r="E24" s="53">
        <v>0</v>
      </c>
      <c r="F24" s="156">
        <v>1000</v>
      </c>
      <c r="G24" s="156">
        <f t="shared" si="7"/>
        <v>1000</v>
      </c>
      <c r="H24" s="54">
        <v>1000</v>
      </c>
      <c r="I24" s="156">
        <f t="shared" si="8"/>
        <v>0</v>
      </c>
      <c r="J24" s="162">
        <v>1000</v>
      </c>
      <c r="K24" s="25">
        <f t="shared" si="9"/>
        <v>0</v>
      </c>
      <c r="L24" s="236"/>
    </row>
    <row r="25" spans="1:12" x14ac:dyDescent="0.2">
      <c r="A25" s="148"/>
      <c r="B25" s="148"/>
      <c r="C25" s="148"/>
      <c r="D25" s="148" t="s">
        <v>39</v>
      </c>
      <c r="E25" s="53">
        <v>5058.0600000000004</v>
      </c>
      <c r="F25" s="168">
        <v>1900</v>
      </c>
      <c r="G25" s="156">
        <f t="shared" si="7"/>
        <v>6958.06</v>
      </c>
      <c r="H25" s="54">
        <v>7000</v>
      </c>
      <c r="I25" s="156">
        <f t="shared" si="8"/>
        <v>-41.9399999999996</v>
      </c>
      <c r="J25" s="162">
        <v>7000</v>
      </c>
      <c r="K25" s="25">
        <f t="shared" si="9"/>
        <v>0</v>
      </c>
      <c r="L25" s="236"/>
    </row>
    <row r="26" spans="1:12" x14ac:dyDescent="0.2">
      <c r="A26" s="148"/>
      <c r="B26" s="148"/>
      <c r="C26" s="148"/>
      <c r="D26" s="148" t="s">
        <v>40</v>
      </c>
      <c r="E26" s="53">
        <v>0</v>
      </c>
      <c r="F26" s="168">
        <v>750</v>
      </c>
      <c r="G26" s="156">
        <f t="shared" si="7"/>
        <v>750</v>
      </c>
      <c r="H26" s="54">
        <v>750</v>
      </c>
      <c r="I26" s="156">
        <f t="shared" si="8"/>
        <v>0</v>
      </c>
      <c r="J26" s="162">
        <v>750</v>
      </c>
      <c r="K26" s="25">
        <f t="shared" si="9"/>
        <v>0</v>
      </c>
      <c r="L26" s="236"/>
    </row>
    <row r="27" spans="1:12" ht="16" x14ac:dyDescent="0.2">
      <c r="A27" s="148"/>
      <c r="B27" s="148"/>
      <c r="C27" s="148"/>
      <c r="D27" s="148" t="s">
        <v>41</v>
      </c>
      <c r="E27" s="53">
        <v>10528.52</v>
      </c>
      <c r="F27" s="168">
        <v>2500</v>
      </c>
      <c r="G27" s="156">
        <f t="shared" si="7"/>
        <v>13028.52</v>
      </c>
      <c r="H27" s="54">
        <v>15000</v>
      </c>
      <c r="I27" s="156">
        <f t="shared" si="8"/>
        <v>-1971.4799999999996</v>
      </c>
      <c r="J27" s="162">
        <v>15000</v>
      </c>
      <c r="K27" s="25">
        <f t="shared" si="9"/>
        <v>0</v>
      </c>
      <c r="L27" s="236" t="s">
        <v>42</v>
      </c>
    </row>
    <row r="28" spans="1:12" x14ac:dyDescent="0.2">
      <c r="A28" s="148"/>
      <c r="B28" s="148"/>
      <c r="C28" s="148"/>
      <c r="D28" s="148" t="s">
        <v>43</v>
      </c>
      <c r="E28" s="53">
        <v>1083.5999999999999</v>
      </c>
      <c r="F28" s="168">
        <v>4900</v>
      </c>
      <c r="G28" s="156">
        <f t="shared" si="7"/>
        <v>5983.6</v>
      </c>
      <c r="H28" s="54">
        <v>6000</v>
      </c>
      <c r="I28" s="156">
        <f t="shared" si="8"/>
        <v>-16.399999999999636</v>
      </c>
      <c r="J28" s="162">
        <v>6000</v>
      </c>
      <c r="K28" s="25">
        <f t="shared" si="9"/>
        <v>0</v>
      </c>
      <c r="L28" s="236"/>
    </row>
    <row r="29" spans="1:12" x14ac:dyDescent="0.2">
      <c r="A29" s="148"/>
      <c r="B29" s="148"/>
      <c r="C29" s="148"/>
      <c r="D29" s="148" t="s">
        <v>44</v>
      </c>
      <c r="E29" s="53">
        <v>3013</v>
      </c>
      <c r="F29" s="168">
        <v>1500</v>
      </c>
      <c r="G29" s="156">
        <f t="shared" si="7"/>
        <v>4513</v>
      </c>
      <c r="H29" s="54">
        <v>5000</v>
      </c>
      <c r="I29" s="156">
        <f t="shared" si="8"/>
        <v>-487</v>
      </c>
      <c r="J29" s="162">
        <v>5000</v>
      </c>
      <c r="K29" s="25">
        <f t="shared" si="9"/>
        <v>0</v>
      </c>
      <c r="L29" s="236"/>
    </row>
    <row r="30" spans="1:12" ht="32" x14ac:dyDescent="0.2">
      <c r="A30" s="148"/>
      <c r="B30" s="148"/>
      <c r="C30" s="148"/>
      <c r="D30" s="148" t="s">
        <v>45</v>
      </c>
      <c r="E30" s="53">
        <v>5526.28</v>
      </c>
      <c r="F30" s="167">
        <v>1100</v>
      </c>
      <c r="G30" s="156">
        <f t="shared" si="7"/>
        <v>6626.28</v>
      </c>
      <c r="H30" s="52">
        <v>6700</v>
      </c>
      <c r="I30" s="156">
        <f t="shared" si="8"/>
        <v>-73.720000000000255</v>
      </c>
      <c r="J30" s="162">
        <v>10700</v>
      </c>
      <c r="K30" s="25">
        <f t="shared" si="9"/>
        <v>4000</v>
      </c>
      <c r="L30" s="236" t="s">
        <v>46</v>
      </c>
    </row>
    <row r="31" spans="1:12" x14ac:dyDescent="0.2">
      <c r="A31" s="148"/>
      <c r="B31" s="148"/>
      <c r="C31" s="148"/>
      <c r="D31" s="148" t="s">
        <v>47</v>
      </c>
      <c r="E31" s="54">
        <v>314.26</v>
      </c>
      <c r="F31" s="167">
        <v>150</v>
      </c>
      <c r="G31" s="156">
        <f t="shared" si="7"/>
        <v>464.26</v>
      </c>
      <c r="H31" s="52">
        <v>600</v>
      </c>
      <c r="I31" s="156">
        <f t="shared" si="8"/>
        <v>-135.74</v>
      </c>
      <c r="J31" s="162">
        <v>500</v>
      </c>
      <c r="K31" s="25">
        <f t="shared" si="9"/>
        <v>-100</v>
      </c>
      <c r="L31" s="236"/>
    </row>
    <row r="32" spans="1:12" x14ac:dyDescent="0.2">
      <c r="A32" s="148"/>
      <c r="B32" s="148"/>
      <c r="C32" s="148"/>
      <c r="D32" s="148" t="s">
        <v>48</v>
      </c>
      <c r="E32" s="53">
        <v>8462.18</v>
      </c>
      <c r="F32" s="168">
        <v>3500</v>
      </c>
      <c r="G32" s="156">
        <f>SUM(E32:F32)</f>
        <v>11962.18</v>
      </c>
      <c r="H32" s="54">
        <v>11650</v>
      </c>
      <c r="I32" s="156">
        <f t="shared" si="8"/>
        <v>312.18000000000029</v>
      </c>
      <c r="J32" s="162">
        <v>13200</v>
      </c>
      <c r="K32" s="25">
        <f>J32-H32</f>
        <v>1550</v>
      </c>
      <c r="L32" s="236"/>
    </row>
    <row r="33" spans="1:12" x14ac:dyDescent="0.2">
      <c r="A33" s="148"/>
      <c r="B33" s="148"/>
      <c r="C33" s="148"/>
      <c r="D33" s="148" t="s">
        <v>49</v>
      </c>
      <c r="E33" s="53">
        <v>5598.77</v>
      </c>
      <c r="F33" s="168">
        <v>0</v>
      </c>
      <c r="G33" s="156">
        <f t="shared" si="7"/>
        <v>5598.77</v>
      </c>
      <c r="H33" s="54">
        <v>5000</v>
      </c>
      <c r="I33" s="156">
        <f t="shared" si="8"/>
        <v>598.77000000000044</v>
      </c>
      <c r="J33" s="162">
        <v>6000</v>
      </c>
      <c r="K33" s="25">
        <f t="shared" si="9"/>
        <v>1000</v>
      </c>
      <c r="L33" s="236"/>
    </row>
    <row r="34" spans="1:12" x14ac:dyDescent="0.2">
      <c r="A34" s="148"/>
      <c r="B34" s="148"/>
      <c r="C34" s="148"/>
      <c r="D34" s="148" t="s">
        <v>50</v>
      </c>
      <c r="E34" s="53">
        <v>4711.0600000000004</v>
      </c>
      <c r="F34" s="168">
        <v>1000</v>
      </c>
      <c r="G34" s="156">
        <f t="shared" si="7"/>
        <v>5711.06</v>
      </c>
      <c r="H34" s="54">
        <v>5000</v>
      </c>
      <c r="I34" s="156">
        <f t="shared" si="8"/>
        <v>711.0600000000004</v>
      </c>
      <c r="J34" s="162">
        <v>5800</v>
      </c>
      <c r="K34" s="25">
        <f t="shared" si="9"/>
        <v>800</v>
      </c>
      <c r="L34" s="236"/>
    </row>
    <row r="35" spans="1:12" ht="16" x14ac:dyDescent="0.2">
      <c r="A35" s="148"/>
      <c r="B35" s="148"/>
      <c r="C35" s="148"/>
      <c r="D35" s="148" t="s">
        <v>51</v>
      </c>
      <c r="E35" s="54">
        <v>0</v>
      </c>
      <c r="F35" s="168">
        <v>0</v>
      </c>
      <c r="G35" s="168">
        <f t="shared" si="7"/>
        <v>0</v>
      </c>
      <c r="H35" s="54">
        <v>9500</v>
      </c>
      <c r="I35" s="156">
        <f t="shared" si="8"/>
        <v>-9500</v>
      </c>
      <c r="J35" s="162">
        <v>9000</v>
      </c>
      <c r="K35" s="25">
        <f t="shared" si="9"/>
        <v>-500</v>
      </c>
      <c r="L35" s="236" t="s">
        <v>52</v>
      </c>
    </row>
    <row r="36" spans="1:12" x14ac:dyDescent="0.2">
      <c r="A36" s="148"/>
      <c r="B36" s="148"/>
      <c r="C36" s="148"/>
      <c r="D36" s="148" t="s">
        <v>53</v>
      </c>
      <c r="E36" s="54">
        <v>25836.19</v>
      </c>
      <c r="F36" s="168">
        <v>0</v>
      </c>
      <c r="G36" s="168">
        <f t="shared" si="7"/>
        <v>25836.19</v>
      </c>
      <c r="H36" s="54">
        <v>30000</v>
      </c>
      <c r="I36" s="156">
        <f t="shared" si="8"/>
        <v>-4163.8100000000013</v>
      </c>
      <c r="J36" s="162">
        <v>0</v>
      </c>
      <c r="K36" s="25">
        <f>J36-H36</f>
        <v>-30000</v>
      </c>
      <c r="L36" s="236"/>
    </row>
    <row r="37" spans="1:12" ht="16" x14ac:dyDescent="0.2">
      <c r="A37" s="148"/>
      <c r="B37" s="148"/>
      <c r="C37" s="148"/>
      <c r="D37" s="148" t="s">
        <v>54</v>
      </c>
      <c r="E37" s="54">
        <f>48810.71+10463.11</f>
        <v>59273.82</v>
      </c>
      <c r="F37" s="168">
        <v>19757.939999999999</v>
      </c>
      <c r="G37" s="156">
        <f t="shared" si="7"/>
        <v>79031.759999999995</v>
      </c>
      <c r="H37" s="54">
        <v>79050</v>
      </c>
      <c r="I37" s="156">
        <f t="shared" si="8"/>
        <v>-18.240000000005239</v>
      </c>
      <c r="J37" s="162">
        <v>79050</v>
      </c>
      <c r="K37" s="25">
        <f t="shared" si="9"/>
        <v>0</v>
      </c>
      <c r="L37" s="236" t="s">
        <v>55</v>
      </c>
    </row>
    <row r="38" spans="1:12" x14ac:dyDescent="0.2">
      <c r="A38" s="148"/>
      <c r="B38" s="148"/>
      <c r="C38" s="148"/>
      <c r="D38" s="148" t="s">
        <v>56</v>
      </c>
      <c r="E38" s="53">
        <v>136875.03</v>
      </c>
      <c r="F38" s="168">
        <v>45625.02</v>
      </c>
      <c r="G38" s="156">
        <f t="shared" si="7"/>
        <v>182500.05</v>
      </c>
      <c r="H38" s="54">
        <v>182500</v>
      </c>
      <c r="I38" s="156">
        <f t="shared" si="8"/>
        <v>4.9999999988358468E-2</v>
      </c>
      <c r="J38" s="162">
        <v>200750</v>
      </c>
      <c r="K38" s="25">
        <f t="shared" si="9"/>
        <v>18250</v>
      </c>
      <c r="L38" s="236"/>
    </row>
    <row r="39" spans="1:12" x14ac:dyDescent="0.2">
      <c r="A39" s="148"/>
      <c r="B39" s="148"/>
      <c r="C39" s="148"/>
      <c r="D39" s="148" t="s">
        <v>57</v>
      </c>
      <c r="E39" s="53">
        <v>125</v>
      </c>
      <c r="F39" s="168">
        <v>0</v>
      </c>
      <c r="G39" s="156">
        <f t="shared" si="7"/>
        <v>125</v>
      </c>
      <c r="H39" s="54">
        <v>1000</v>
      </c>
      <c r="I39" s="156">
        <f t="shared" si="8"/>
        <v>-875</v>
      </c>
      <c r="J39" s="162">
        <v>1000</v>
      </c>
      <c r="K39" s="25">
        <f t="shared" si="9"/>
        <v>0</v>
      </c>
      <c r="L39" s="236"/>
    </row>
    <row r="40" spans="1:12" x14ac:dyDescent="0.2">
      <c r="A40" s="148"/>
      <c r="B40" s="148"/>
      <c r="C40" s="148"/>
      <c r="D40" s="148" t="s">
        <v>58</v>
      </c>
      <c r="E40" s="53">
        <v>5613.15</v>
      </c>
      <c r="F40" s="168">
        <v>2020</v>
      </c>
      <c r="G40" s="156">
        <f t="shared" si="7"/>
        <v>7633.15</v>
      </c>
      <c r="H40" s="54">
        <v>7000</v>
      </c>
      <c r="I40" s="156">
        <f t="shared" si="8"/>
        <v>633.14999999999964</v>
      </c>
      <c r="J40" s="162">
        <v>7900</v>
      </c>
      <c r="K40" s="25">
        <f t="shared" si="9"/>
        <v>900</v>
      </c>
      <c r="L40" s="236"/>
    </row>
    <row r="41" spans="1:12" x14ac:dyDescent="0.2">
      <c r="A41" s="148"/>
      <c r="B41" s="148"/>
      <c r="C41" s="148"/>
      <c r="D41" s="148" t="s">
        <v>59</v>
      </c>
      <c r="E41" s="53">
        <v>6359.05</v>
      </c>
      <c r="F41" s="167">
        <f>(500*3)+(100*3)</f>
        <v>1800</v>
      </c>
      <c r="G41" s="156">
        <f t="shared" si="7"/>
        <v>8159.05</v>
      </c>
      <c r="H41" s="52">
        <v>7000</v>
      </c>
      <c r="I41" s="156">
        <f t="shared" si="8"/>
        <v>1159.0500000000002</v>
      </c>
      <c r="J41" s="162">
        <v>8200</v>
      </c>
      <c r="K41" s="25">
        <f t="shared" si="9"/>
        <v>1200</v>
      </c>
      <c r="L41" s="236"/>
    </row>
    <row r="42" spans="1:12" x14ac:dyDescent="0.2">
      <c r="A42" s="148"/>
      <c r="B42" s="148"/>
      <c r="C42" s="148"/>
      <c r="D42" s="148" t="s">
        <v>60</v>
      </c>
      <c r="E42" s="222">
        <v>2232.59</v>
      </c>
      <c r="F42" s="231">
        <v>0</v>
      </c>
      <c r="G42" s="231">
        <f>SUM(E42:F42)</f>
        <v>2232.59</v>
      </c>
      <c r="H42" s="232">
        <v>2400</v>
      </c>
      <c r="I42" s="231">
        <f t="shared" si="8"/>
        <v>-167.40999999999985</v>
      </c>
      <c r="J42" s="233">
        <v>2400</v>
      </c>
      <c r="K42" s="234">
        <f t="shared" si="9"/>
        <v>0</v>
      </c>
      <c r="L42" s="236"/>
    </row>
    <row r="43" spans="1:12" x14ac:dyDescent="0.2">
      <c r="A43" s="148"/>
      <c r="B43" s="148" t="s">
        <v>61</v>
      </c>
      <c r="C43" s="148"/>
      <c r="D43" s="148"/>
      <c r="E43" s="53">
        <f>SUM(E23:E42)</f>
        <v>288170.56000000006</v>
      </c>
      <c r="F43" s="156">
        <f>SUM(F23:F42)</f>
        <v>90022.959999999992</v>
      </c>
      <c r="G43" s="156">
        <f t="shared" si="7"/>
        <v>378193.52</v>
      </c>
      <c r="H43" s="53">
        <f>+SUM(H23:H42)</f>
        <v>392230</v>
      </c>
      <c r="I43" s="156">
        <f>G43-H43</f>
        <v>-14036.479999999981</v>
      </c>
      <c r="J43" s="162">
        <f>SUM(J23:J42)</f>
        <v>392342</v>
      </c>
      <c r="K43" s="24">
        <f t="shared" ref="K43:K45" si="10">J43-H43</f>
        <v>112</v>
      </c>
    </row>
    <row r="44" spans="1:12" s="3" customFormat="1" ht="15.75" customHeight="1" x14ac:dyDescent="0.2">
      <c r="A44" s="147"/>
      <c r="B44" s="148"/>
      <c r="C44" s="148"/>
      <c r="D44" s="148" t="s">
        <v>62</v>
      </c>
      <c r="E44" s="140">
        <v>151029.79999999999</v>
      </c>
      <c r="F44" s="158">
        <v>50348.12</v>
      </c>
      <c r="G44" s="158">
        <f t="shared" si="7"/>
        <v>201377.91999999998</v>
      </c>
      <c r="H44" s="146">
        <v>201378.25</v>
      </c>
      <c r="I44" s="156">
        <f>G44-H44</f>
        <v>-0.33000000001629815</v>
      </c>
      <c r="J44" s="165">
        <f>J11+J17+J12+J16</f>
        <v>60378.25</v>
      </c>
      <c r="K44" s="26">
        <f t="shared" si="10"/>
        <v>-141000</v>
      </c>
      <c r="L44" s="237"/>
    </row>
    <row r="45" spans="1:12" s="3" customFormat="1" ht="15.75" customHeight="1" thickBot="1" x14ac:dyDescent="0.25">
      <c r="A45" s="147"/>
      <c r="B45" s="148"/>
      <c r="C45" s="148" t="s">
        <v>63</v>
      </c>
      <c r="D45" s="148"/>
      <c r="E45" s="130">
        <f t="shared" ref="E45:J45" si="11">E21-E43-E44</f>
        <v>24933.219999999972</v>
      </c>
      <c r="F45" s="159">
        <f t="shared" si="11"/>
        <v>-7940.3400000000038</v>
      </c>
      <c r="G45" s="159">
        <f t="shared" si="11"/>
        <v>16992.880000000063</v>
      </c>
      <c r="H45" s="130">
        <f t="shared" si="11"/>
        <v>0</v>
      </c>
      <c r="I45" s="159">
        <f t="shared" si="11"/>
        <v>16992.880000000063</v>
      </c>
      <c r="J45" s="166">
        <f t="shared" si="11"/>
        <v>0</v>
      </c>
      <c r="K45" s="51">
        <f t="shared" si="10"/>
        <v>0</v>
      </c>
      <c r="L45" s="238"/>
    </row>
    <row r="46" spans="1:12" s="3" customFormat="1" hidden="1" x14ac:dyDescent="0.2">
      <c r="B46" s="1"/>
      <c r="C46" s="148"/>
      <c r="D46" s="148" t="s">
        <v>64</v>
      </c>
      <c r="E46" s="18">
        <v>48810.71</v>
      </c>
      <c r="F46" s="18"/>
      <c r="G46" s="157">
        <v>0</v>
      </c>
      <c r="H46" s="18"/>
      <c r="I46" s="157"/>
      <c r="J46" s="18"/>
      <c r="K46" s="52"/>
      <c r="L46" s="238"/>
    </row>
    <row r="47" spans="1:12" s="3" customFormat="1" hidden="1" x14ac:dyDescent="0.2">
      <c r="B47" s="1"/>
      <c r="C47" s="148"/>
      <c r="D47" s="148" t="s">
        <v>65</v>
      </c>
      <c r="E47" s="18">
        <v>0</v>
      </c>
      <c r="F47" s="18"/>
      <c r="G47" s="157">
        <v>0</v>
      </c>
      <c r="H47" s="18"/>
      <c r="I47" s="157"/>
      <c r="J47" s="18"/>
      <c r="K47" s="52"/>
      <c r="L47" s="238"/>
    </row>
    <row r="48" spans="1:12" s="3" customFormat="1" hidden="1" x14ac:dyDescent="0.2">
      <c r="B48" s="1"/>
      <c r="C48" s="148"/>
      <c r="D48" s="148" t="s">
        <v>66</v>
      </c>
      <c r="E48" s="18">
        <v>0</v>
      </c>
      <c r="F48" s="18"/>
      <c r="G48" s="157">
        <v>0</v>
      </c>
      <c r="H48" s="18"/>
      <c r="I48" s="157"/>
      <c r="J48" s="18"/>
      <c r="K48" s="52"/>
      <c r="L48" s="238"/>
    </row>
    <row r="49" spans="3:12" ht="17" thickTop="1" thickBot="1" x14ac:dyDescent="0.25">
      <c r="C49" s="147" t="s">
        <v>67</v>
      </c>
      <c r="D49" s="147"/>
      <c r="E49" s="130">
        <f>SUM(E45:E48)</f>
        <v>73743.929999999964</v>
      </c>
      <c r="F49" s="130"/>
      <c r="G49" s="159">
        <f>SUM(G45:G48)</f>
        <v>16992.880000000063</v>
      </c>
      <c r="H49" s="53"/>
      <c r="I49" s="157"/>
      <c r="J49" s="53"/>
      <c r="K49" s="53"/>
      <c r="L49" s="239"/>
    </row>
    <row r="50" spans="3:12" ht="16" thickTop="1" x14ac:dyDescent="0.2">
      <c r="E50" s="53"/>
      <c r="F50" s="53"/>
      <c r="G50" s="53"/>
      <c r="H50" s="53"/>
      <c r="I50" s="53"/>
      <c r="J50" s="53"/>
      <c r="K50" s="53"/>
      <c r="L50" s="239"/>
    </row>
    <row r="51" spans="3:12" x14ac:dyDescent="0.2">
      <c r="D51" s="190"/>
      <c r="E51" s="190"/>
      <c r="F51" s="190"/>
      <c r="G51" s="190"/>
      <c r="H51" s="190"/>
      <c r="I51" s="190"/>
      <c r="J51" s="190"/>
      <c r="K51" s="190"/>
    </row>
    <row r="52" spans="3:12" x14ac:dyDescent="0.2">
      <c r="D52" s="190"/>
      <c r="E52" s="190"/>
      <c r="F52" s="190"/>
      <c r="G52" s="190"/>
      <c r="H52" s="190"/>
      <c r="I52" s="190"/>
      <c r="J52" s="190"/>
      <c r="K52" s="190"/>
    </row>
    <row r="60" spans="3:12" x14ac:dyDescent="0.2">
      <c r="E60" s="53"/>
      <c r="F60" s="53"/>
      <c r="G60" s="53"/>
      <c r="I60" s="53"/>
    </row>
    <row r="61" spans="3:12" x14ac:dyDescent="0.2">
      <c r="E61" s="53"/>
      <c r="F61" s="53"/>
      <c r="G61" s="53"/>
      <c r="I61" s="53"/>
    </row>
    <row r="62" spans="3:12" x14ac:dyDescent="0.2">
      <c r="E62" s="53"/>
      <c r="F62" s="53"/>
      <c r="G62" s="53"/>
      <c r="I62" s="53"/>
    </row>
    <row r="76" spans="5:9" x14ac:dyDescent="0.2">
      <c r="E76" s="53"/>
      <c r="F76" s="53"/>
      <c r="G76" s="53"/>
      <c r="I76" s="53"/>
    </row>
    <row r="77" spans="5:9" x14ac:dyDescent="0.2">
      <c r="E77" s="53"/>
      <c r="F77" s="53"/>
      <c r="G77" s="53"/>
      <c r="I77" s="53"/>
    </row>
    <row r="78" spans="5:9" x14ac:dyDescent="0.2">
      <c r="E78" s="53"/>
      <c r="F78" s="53"/>
      <c r="G78" s="53"/>
      <c r="I78" s="53"/>
    </row>
    <row r="79" spans="5:9" x14ac:dyDescent="0.2">
      <c r="E79" s="53"/>
      <c r="F79" s="53"/>
      <c r="G79" s="53"/>
      <c r="I79" s="53"/>
    </row>
    <row r="80" spans="5:9" x14ac:dyDescent="0.2">
      <c r="E80" s="53"/>
      <c r="F80" s="53"/>
      <c r="G80" s="53"/>
      <c r="I80" s="53"/>
    </row>
    <row r="81" spans="5:9" x14ac:dyDescent="0.2">
      <c r="E81" s="53"/>
      <c r="F81" s="53"/>
      <c r="G81" s="53"/>
      <c r="I81" s="53"/>
    </row>
    <row r="82" spans="5:9" x14ac:dyDescent="0.2">
      <c r="E82" s="53"/>
      <c r="F82" s="53"/>
      <c r="G82" s="53"/>
      <c r="I82" s="53"/>
    </row>
    <row r="83" spans="5:9" x14ac:dyDescent="0.2">
      <c r="E83" s="53"/>
      <c r="F83" s="53"/>
      <c r="G83" s="53"/>
      <c r="I83" s="53"/>
    </row>
    <row r="84" spans="5:9" x14ac:dyDescent="0.2">
      <c r="E84" s="53"/>
      <c r="F84" s="53"/>
      <c r="G84" s="53"/>
      <c r="I84" s="53"/>
    </row>
    <row r="85" spans="5:9" x14ac:dyDescent="0.2">
      <c r="E85" s="53"/>
      <c r="F85" s="53"/>
      <c r="G85" s="53"/>
      <c r="I85" s="53"/>
    </row>
    <row r="86" spans="5:9" x14ac:dyDescent="0.2">
      <c r="E86" s="53"/>
      <c r="F86" s="53"/>
      <c r="G86" s="53"/>
      <c r="I86" s="53"/>
    </row>
  </sheetData>
  <mergeCells count="4">
    <mergeCell ref="A1:K1"/>
    <mergeCell ref="A3:K3"/>
    <mergeCell ref="A4:K4"/>
    <mergeCell ref="A2:K2"/>
  </mergeCells>
  <printOptions horizontalCentered="1"/>
  <pageMargins left="0.25" right="0.25" top="0.75" bottom="0.75" header="0.3" footer="0.3"/>
  <pageSetup scale="61" orientation="landscape" r:id="rId1"/>
  <headerFooter>
    <oddFooter xml:space="preserve">&amp;CFor Internal Use Only
</oddFooter>
  </headerFooter>
  <rowBreaks count="1" manualBreakCount="1">
    <brk id="29" max="10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77"/>
  <sheetViews>
    <sheetView topLeftCell="A2" zoomScaleNormal="100" workbookViewId="0">
      <pane xSplit="7" ySplit="7" topLeftCell="H48" activePane="bottomRight" state="frozen"/>
      <selection pane="topRight" activeCell="C30" sqref="C30"/>
      <selection pane="bottomLeft" activeCell="C30" sqref="C30"/>
      <selection pane="bottomRight" activeCell="F63" sqref="F63"/>
    </sheetView>
  </sheetViews>
  <sheetFormatPr baseColWidth="10" defaultColWidth="9.1640625" defaultRowHeight="13" x14ac:dyDescent="0.15"/>
  <cols>
    <col min="1" max="1" width="3.6640625" style="30" customWidth="1"/>
    <col min="2" max="2" width="0.6640625" style="30" customWidth="1"/>
    <col min="3" max="3" width="14.5" style="30" customWidth="1"/>
    <col min="4" max="4" width="22" style="30" customWidth="1"/>
    <col min="5" max="5" width="1.33203125" style="30" customWidth="1"/>
    <col min="6" max="6" width="19.5" style="31" customWidth="1"/>
    <col min="7" max="8" width="1.6640625" style="31" customWidth="1"/>
    <col min="9" max="9" width="21.1640625" style="31" customWidth="1"/>
    <col min="10" max="10" width="19.33203125" style="31" customWidth="1"/>
    <col min="11" max="12" width="19.5" style="31" customWidth="1"/>
    <col min="13" max="13" width="18.5" style="31" customWidth="1"/>
    <col min="14" max="14" width="17.5" style="31" customWidth="1"/>
    <col min="15" max="15" width="17" style="31" customWidth="1"/>
    <col min="16" max="16" width="18.5" style="31" customWidth="1"/>
    <col min="17" max="17" width="16.6640625" style="31" customWidth="1"/>
    <col min="18" max="18" width="18.83203125" style="31" customWidth="1"/>
    <col min="19" max="19" width="16.6640625" style="31" customWidth="1"/>
    <col min="20" max="20" width="19" style="31" customWidth="1"/>
    <col min="21" max="29" width="16.6640625" style="31" customWidth="1"/>
    <col min="30" max="16384" width="9.1640625" style="30"/>
  </cols>
  <sheetData>
    <row r="1" spans="1:29" s="28" customFormat="1" x14ac:dyDescent="0.15">
      <c r="A1" s="246" t="s">
        <v>68</v>
      </c>
      <c r="B1" s="246"/>
      <c r="C1" s="246"/>
      <c r="D1" s="246"/>
      <c r="E1" s="246"/>
      <c r="F1" s="246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</row>
    <row r="2" spans="1:29" s="28" customFormat="1" x14ac:dyDescent="0.15">
      <c r="A2" s="248" t="s">
        <v>341</v>
      </c>
      <c r="B2" s="248"/>
      <c r="C2" s="248"/>
      <c r="D2" s="248"/>
      <c r="E2" s="248"/>
      <c r="F2" s="248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</row>
    <row r="3" spans="1:29" s="28" customFormat="1" x14ac:dyDescent="0.15">
      <c r="A3" s="249" t="str">
        <f>+'Income Statement'!A4:H4</f>
        <v>FOR THE  FISCAL YEAR ENDING JULY 31, 2023</v>
      </c>
      <c r="B3" s="250"/>
      <c r="C3" s="250"/>
      <c r="D3" s="250"/>
      <c r="E3" s="250"/>
      <c r="F3" s="25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x14ac:dyDescent="0.15">
      <c r="A4" s="135"/>
      <c r="B4" s="135"/>
      <c r="C4" s="135"/>
      <c r="D4" s="135"/>
      <c r="E4" s="135"/>
      <c r="AB4" s="49"/>
      <c r="AC4" s="49"/>
    </row>
    <row r="5" spans="1:29" x14ac:dyDescent="0.15">
      <c r="A5" s="135"/>
      <c r="B5" s="135"/>
      <c r="C5" s="135"/>
      <c r="D5" s="135"/>
      <c r="E5" s="135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S5" s="33"/>
      <c r="T5" s="33"/>
      <c r="U5" s="33"/>
      <c r="V5" s="33"/>
      <c r="W5" s="33"/>
      <c r="X5" s="33"/>
      <c r="Y5" s="33"/>
      <c r="Z5" s="33"/>
      <c r="AA5" s="33"/>
      <c r="AB5" s="50"/>
      <c r="AC5" s="50"/>
    </row>
    <row r="6" spans="1:29" x14ac:dyDescent="0.15">
      <c r="A6" s="135"/>
      <c r="B6" s="135"/>
      <c r="C6" s="135"/>
      <c r="D6" s="135"/>
      <c r="E6" s="135"/>
      <c r="F6" s="34"/>
      <c r="G6" s="34"/>
      <c r="H6" s="34"/>
      <c r="I6" s="48">
        <v>42063</v>
      </c>
      <c r="J6" s="48">
        <v>42005</v>
      </c>
      <c r="K6" s="48">
        <v>41987</v>
      </c>
      <c r="L6" s="48">
        <v>41973</v>
      </c>
      <c r="M6" s="48">
        <v>41943</v>
      </c>
      <c r="N6" s="48">
        <v>41912</v>
      </c>
      <c r="O6" s="48">
        <v>41882</v>
      </c>
      <c r="P6" s="48">
        <v>41851</v>
      </c>
      <c r="Q6" s="48">
        <v>41820</v>
      </c>
      <c r="R6" s="119" t="s">
        <v>342</v>
      </c>
      <c r="S6" s="48">
        <v>41790</v>
      </c>
      <c r="T6" s="48">
        <v>41743</v>
      </c>
      <c r="U6" s="48">
        <v>41712</v>
      </c>
      <c r="V6" s="48">
        <v>41698</v>
      </c>
      <c r="W6" s="48">
        <v>41670</v>
      </c>
      <c r="X6" s="48">
        <v>41639</v>
      </c>
      <c r="Y6" s="48">
        <v>41608</v>
      </c>
      <c r="Z6" s="48">
        <v>41547</v>
      </c>
      <c r="AA6" s="48">
        <v>41517</v>
      </c>
      <c r="AB6" s="48">
        <v>41486</v>
      </c>
      <c r="AC6" s="48">
        <v>41455</v>
      </c>
    </row>
    <row r="7" spans="1:29" x14ac:dyDescent="0.15">
      <c r="A7" s="136" t="s">
        <v>343</v>
      </c>
      <c r="B7" s="135"/>
      <c r="C7" s="135"/>
      <c r="D7" s="135"/>
      <c r="E7" s="135"/>
      <c r="F7" s="38">
        <f>SUM(G7:AC7)</f>
        <v>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20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x14ac:dyDescent="0.15">
      <c r="A8" s="136"/>
      <c r="B8" s="135"/>
      <c r="C8" s="135"/>
      <c r="D8" s="135"/>
      <c r="E8" s="135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20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x14ac:dyDescent="0.15">
      <c r="A9" s="135" t="s">
        <v>344</v>
      </c>
      <c r="B9" s="135"/>
      <c r="C9" s="135"/>
      <c r="D9" s="135"/>
      <c r="E9" s="135"/>
      <c r="F9" s="37">
        <f>SUM(G9:R9)</f>
        <v>5198000</v>
      </c>
      <c r="G9" s="34"/>
      <c r="H9" s="34"/>
      <c r="I9" s="34"/>
      <c r="J9" s="34">
        <v>1050000</v>
      </c>
      <c r="K9" s="35"/>
      <c r="L9" s="34">
        <v>-120000</v>
      </c>
      <c r="M9" s="35">
        <v>1100000</v>
      </c>
      <c r="N9" s="34"/>
      <c r="O9" s="34"/>
      <c r="P9" s="35">
        <v>1100000</v>
      </c>
      <c r="Q9" s="34"/>
      <c r="R9" s="120">
        <f t="shared" ref="R9:R54" si="0">SUM(S9:AC9)</f>
        <v>2068000</v>
      </c>
      <c r="S9" s="34"/>
      <c r="T9" s="35">
        <v>1100000</v>
      </c>
      <c r="U9" s="34"/>
      <c r="V9" s="34"/>
      <c r="W9" s="35">
        <v>968000</v>
      </c>
      <c r="X9" s="34"/>
      <c r="Y9" s="34"/>
      <c r="Z9" s="34"/>
      <c r="AA9" s="34"/>
      <c r="AB9" s="34"/>
      <c r="AC9" s="34"/>
    </row>
    <row r="10" spans="1:29" x14ac:dyDescent="0.15">
      <c r="A10" s="135" t="s">
        <v>345</v>
      </c>
      <c r="B10" s="135"/>
      <c r="C10" s="135"/>
      <c r="D10" s="135"/>
      <c r="E10" s="135"/>
      <c r="F10" s="38">
        <f>SUM(G10:R10)</f>
        <v>79770.37</v>
      </c>
      <c r="G10" s="34"/>
      <c r="H10" s="34"/>
      <c r="I10" s="34"/>
      <c r="J10" s="34"/>
      <c r="K10" s="35"/>
      <c r="L10" s="34"/>
      <c r="M10" s="34"/>
      <c r="N10" s="34"/>
      <c r="O10" s="34"/>
      <c r="P10" s="34"/>
      <c r="Q10" s="34"/>
      <c r="R10" s="121">
        <f t="shared" si="0"/>
        <v>79770.37</v>
      </c>
      <c r="S10" s="34"/>
      <c r="T10" s="35"/>
      <c r="U10" s="34"/>
      <c r="V10" s="34"/>
      <c r="W10" s="35">
        <v>79770.37</v>
      </c>
      <c r="X10" s="34"/>
      <c r="Y10" s="34"/>
      <c r="Z10" s="34"/>
      <c r="AA10" s="34"/>
      <c r="AB10" s="34"/>
      <c r="AC10" s="34"/>
    </row>
    <row r="11" spans="1:29" x14ac:dyDescent="0.15">
      <c r="A11" s="135" t="s">
        <v>346</v>
      </c>
      <c r="B11" s="135"/>
      <c r="C11" s="135"/>
      <c r="D11" s="135"/>
      <c r="E11" s="135"/>
      <c r="F11" s="38">
        <f t="shared" ref="F11:F55" si="1">SUM(G11:R11)</f>
        <v>-33091.870000000003</v>
      </c>
      <c r="G11" s="34"/>
      <c r="H11" s="34"/>
      <c r="I11" s="35">
        <v>-500</v>
      </c>
      <c r="J11" s="34"/>
      <c r="K11" s="35"/>
      <c r="L11" s="35">
        <v>-23996.67</v>
      </c>
      <c r="M11" s="35">
        <v>-4074.01</v>
      </c>
      <c r="N11" s="34"/>
      <c r="O11" s="34"/>
      <c r="P11" s="34"/>
      <c r="Q11" s="35"/>
      <c r="R11" s="121">
        <f t="shared" si="0"/>
        <v>-4521.1899999999996</v>
      </c>
      <c r="S11" s="34"/>
      <c r="T11" s="35"/>
      <c r="U11" s="34"/>
      <c r="V11" s="34"/>
      <c r="W11" s="35">
        <f>-4521.19</f>
        <v>-4521.1899999999996</v>
      </c>
      <c r="X11" s="34"/>
      <c r="Y11" s="34"/>
      <c r="Z11" s="34"/>
      <c r="AA11" s="34"/>
      <c r="AB11" s="34"/>
      <c r="AC11" s="34"/>
    </row>
    <row r="12" spans="1:29" x14ac:dyDescent="0.15">
      <c r="A12" s="135" t="s">
        <v>307</v>
      </c>
      <c r="B12" s="135"/>
      <c r="C12" s="135"/>
      <c r="D12" s="135"/>
      <c r="E12" s="135"/>
      <c r="F12" s="38">
        <f t="shared" si="1"/>
        <v>49.64</v>
      </c>
      <c r="G12" s="34"/>
      <c r="H12" s="34"/>
      <c r="I12" s="34"/>
      <c r="J12" s="35">
        <v>1.07</v>
      </c>
      <c r="K12" s="35">
        <v>1.26</v>
      </c>
      <c r="L12" s="34"/>
      <c r="M12" s="35">
        <v>0.75</v>
      </c>
      <c r="N12" s="35">
        <v>2.48</v>
      </c>
      <c r="O12" s="35">
        <v>5.86</v>
      </c>
      <c r="P12" s="35">
        <v>10.84</v>
      </c>
      <c r="Q12" s="35">
        <v>5.76</v>
      </c>
      <c r="R12" s="121">
        <f t="shared" si="0"/>
        <v>21.619999999999997</v>
      </c>
      <c r="S12" s="35">
        <v>7.05</v>
      </c>
      <c r="T12" s="35">
        <v>6.09</v>
      </c>
      <c r="U12" s="35">
        <v>6.9</v>
      </c>
      <c r="V12" s="34"/>
      <c r="W12" s="35">
        <v>1.58</v>
      </c>
      <c r="X12" s="34"/>
      <c r="Y12" s="34"/>
      <c r="Z12" s="34"/>
      <c r="AA12" s="34"/>
      <c r="AB12" s="34"/>
      <c r="AC12" s="34"/>
    </row>
    <row r="13" spans="1:29" x14ac:dyDescent="0.15">
      <c r="A13" s="135"/>
      <c r="B13" s="135"/>
      <c r="C13" s="135"/>
      <c r="D13" s="135"/>
      <c r="E13" s="135"/>
      <c r="F13" s="38">
        <f t="shared" si="1"/>
        <v>0</v>
      </c>
      <c r="G13" s="34"/>
      <c r="H13" s="34"/>
      <c r="I13" s="34"/>
      <c r="J13" s="34"/>
      <c r="K13" s="35"/>
      <c r="L13" s="34"/>
      <c r="M13" s="35"/>
      <c r="N13" s="35"/>
      <c r="O13" s="35"/>
      <c r="P13" s="35"/>
      <c r="Q13" s="35"/>
      <c r="R13" s="121">
        <f t="shared" si="0"/>
        <v>0</v>
      </c>
      <c r="S13" s="34"/>
      <c r="T13" s="35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15">
      <c r="A14" s="135"/>
      <c r="B14" s="135"/>
      <c r="C14" s="135"/>
      <c r="D14" s="135"/>
      <c r="E14" s="135"/>
      <c r="F14" s="38">
        <f t="shared" si="1"/>
        <v>0</v>
      </c>
      <c r="G14" s="34"/>
      <c r="H14" s="34"/>
      <c r="I14" s="34"/>
      <c r="J14" s="34"/>
      <c r="K14" s="35"/>
      <c r="L14" s="34"/>
      <c r="M14" s="35"/>
      <c r="N14" s="35"/>
      <c r="O14" s="35"/>
      <c r="P14" s="35"/>
      <c r="Q14" s="35"/>
      <c r="R14" s="121">
        <f t="shared" si="0"/>
        <v>0</v>
      </c>
      <c r="S14" s="34"/>
      <c r="T14" s="35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15">
      <c r="A15" s="136" t="s">
        <v>347</v>
      </c>
      <c r="B15" s="135"/>
      <c r="C15" s="135"/>
      <c r="D15" s="135"/>
      <c r="E15" s="135"/>
      <c r="F15" s="38">
        <f t="shared" si="1"/>
        <v>0</v>
      </c>
      <c r="G15" s="37"/>
      <c r="H15" s="37"/>
      <c r="I15" s="37"/>
      <c r="J15" s="37"/>
      <c r="K15" s="38"/>
      <c r="L15" s="37"/>
      <c r="M15" s="38"/>
      <c r="N15" s="38"/>
      <c r="O15" s="38"/>
      <c r="P15" s="38"/>
      <c r="Q15" s="38"/>
      <c r="R15" s="121">
        <f t="shared" si="0"/>
        <v>0</v>
      </c>
      <c r="S15" s="37"/>
      <c r="T15" s="38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x14ac:dyDescent="0.15">
      <c r="A16" s="136"/>
      <c r="B16" s="136" t="s">
        <v>348</v>
      </c>
      <c r="C16" s="135"/>
      <c r="D16" s="135"/>
      <c r="E16" s="135"/>
      <c r="F16" s="38">
        <f t="shared" si="1"/>
        <v>0</v>
      </c>
      <c r="G16" s="37"/>
      <c r="H16" s="37"/>
      <c r="I16" s="37"/>
      <c r="J16" s="37"/>
      <c r="K16" s="38"/>
      <c r="L16" s="37"/>
      <c r="M16" s="38"/>
      <c r="N16" s="38"/>
      <c r="O16" s="38"/>
      <c r="P16" s="38"/>
      <c r="Q16" s="38"/>
      <c r="R16" s="121">
        <f t="shared" si="0"/>
        <v>0</v>
      </c>
      <c r="S16" s="37"/>
      <c r="T16" s="38"/>
      <c r="U16" s="37"/>
      <c r="V16" s="37"/>
      <c r="W16" s="37"/>
      <c r="X16" s="37"/>
      <c r="Y16" s="37"/>
      <c r="Z16" s="37"/>
      <c r="AA16" s="37"/>
      <c r="AB16" s="37"/>
      <c r="AC16" s="37"/>
    </row>
    <row r="17" spans="1:43" x14ac:dyDescent="0.15">
      <c r="A17" s="136"/>
      <c r="B17" s="135"/>
      <c r="C17" s="135" t="s">
        <v>314</v>
      </c>
      <c r="D17" s="135"/>
      <c r="E17" s="135"/>
      <c r="F17" s="38">
        <f t="shared" si="1"/>
        <v>7280</v>
      </c>
      <c r="G17" s="37"/>
      <c r="H17" s="37"/>
      <c r="I17" s="38">
        <v>520</v>
      </c>
      <c r="J17" s="38">
        <v>520</v>
      </c>
      <c r="K17" s="38">
        <v>520</v>
      </c>
      <c r="L17" s="38">
        <v>520</v>
      </c>
      <c r="M17" s="38">
        <v>520</v>
      </c>
      <c r="N17" s="38">
        <v>520</v>
      </c>
      <c r="O17" s="38">
        <v>520</v>
      </c>
      <c r="P17" s="38">
        <v>520</v>
      </c>
      <c r="Q17" s="38">
        <v>520</v>
      </c>
      <c r="R17" s="121">
        <f t="shared" si="0"/>
        <v>2600</v>
      </c>
      <c r="S17" s="38">
        <v>520</v>
      </c>
      <c r="T17" s="38">
        <v>520</v>
      </c>
      <c r="U17" s="38">
        <v>520</v>
      </c>
      <c r="V17" s="38">
        <v>520</v>
      </c>
      <c r="W17" s="38">
        <v>520</v>
      </c>
      <c r="X17" s="37"/>
      <c r="Y17" s="37"/>
      <c r="Z17" s="37"/>
      <c r="AA17" s="37"/>
      <c r="AB17" s="37"/>
      <c r="AC17" s="37"/>
    </row>
    <row r="18" spans="1:43" x14ac:dyDescent="0.15">
      <c r="A18" s="136"/>
      <c r="B18" s="135"/>
      <c r="C18" s="135"/>
      <c r="D18" s="135"/>
      <c r="E18" s="135"/>
      <c r="F18" s="38">
        <f t="shared" si="1"/>
        <v>0</v>
      </c>
      <c r="G18" s="37"/>
      <c r="H18" s="37"/>
      <c r="I18" s="37"/>
      <c r="J18" s="37"/>
      <c r="K18" s="38"/>
      <c r="L18" s="37"/>
      <c r="M18" s="38"/>
      <c r="N18" s="38"/>
      <c r="O18" s="38"/>
      <c r="P18" s="38"/>
      <c r="Q18" s="38"/>
      <c r="R18" s="121">
        <f t="shared" si="0"/>
        <v>0</v>
      </c>
      <c r="S18" s="38"/>
      <c r="T18" s="38"/>
      <c r="U18" s="38"/>
      <c r="V18" s="38"/>
      <c r="W18" s="38"/>
      <c r="X18" s="37"/>
      <c r="Y18" s="37"/>
      <c r="Z18" s="37"/>
      <c r="AA18" s="37"/>
      <c r="AB18" s="37"/>
      <c r="AC18" s="37"/>
    </row>
    <row r="19" spans="1:43" x14ac:dyDescent="0.15">
      <c r="A19" s="136"/>
      <c r="B19" s="136" t="s">
        <v>316</v>
      </c>
      <c r="C19" s="135"/>
      <c r="D19" s="135"/>
      <c r="E19" s="135"/>
      <c r="F19" s="38">
        <f t="shared" si="1"/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21">
        <f t="shared" si="0"/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1:43" x14ac:dyDescent="0.15">
      <c r="A20" s="136"/>
      <c r="B20" s="135"/>
      <c r="C20" s="135" t="s">
        <v>317</v>
      </c>
      <c r="D20" s="135"/>
      <c r="E20" s="135"/>
      <c r="F20" s="38">
        <f t="shared" si="1"/>
        <v>228985.58000000002</v>
      </c>
      <c r="G20" s="38"/>
      <c r="H20" s="38"/>
      <c r="I20" s="38">
        <f>4306.2+2596.1</f>
        <v>6902.2999999999993</v>
      </c>
      <c r="J20" s="38"/>
      <c r="K20" s="38"/>
      <c r="L20" s="38">
        <v>1436.3</v>
      </c>
      <c r="M20" s="38">
        <v>8766.7000000000007</v>
      </c>
      <c r="N20" s="38">
        <v>9020.9500000000007</v>
      </c>
      <c r="O20" s="38">
        <v>10262.39</v>
      </c>
      <c r="P20" s="38">
        <v>12451.4</v>
      </c>
      <c r="Q20" s="38">
        <v>10225.48</v>
      </c>
      <c r="R20" s="121">
        <f t="shared" si="0"/>
        <v>169920.06</v>
      </c>
      <c r="S20" s="38">
        <v>10115</v>
      </c>
      <c r="T20" s="38">
        <v>9577</v>
      </c>
      <c r="U20" s="38">
        <v>8173.1</v>
      </c>
      <c r="V20" s="38">
        <v>7324.9</v>
      </c>
      <c r="W20" s="38"/>
      <c r="X20" s="38">
        <v>6729.6</v>
      </c>
      <c r="Y20" s="38">
        <v>37590.68</v>
      </c>
      <c r="Z20" s="38">
        <f>26520+34345.18</f>
        <v>60865.18</v>
      </c>
      <c r="AA20" s="38"/>
      <c r="AB20" s="38">
        <v>24273.4</v>
      </c>
      <c r="AC20" s="38">
        <v>5271.2</v>
      </c>
    </row>
    <row r="21" spans="1:43" x14ac:dyDescent="0.15">
      <c r="A21" s="136"/>
      <c r="B21" s="135"/>
      <c r="C21" s="135"/>
      <c r="D21" s="135"/>
      <c r="E21" s="135"/>
      <c r="F21" s="38">
        <f t="shared" si="1"/>
        <v>11570.26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121">
        <f t="shared" si="0"/>
        <v>11570.26</v>
      </c>
      <c r="S21" s="38"/>
      <c r="T21" s="38"/>
      <c r="U21" s="38"/>
      <c r="V21" s="38">
        <v>6060.96</v>
      </c>
      <c r="W21" s="38"/>
      <c r="X21" s="38"/>
      <c r="Y21" s="38">
        <v>5509.3</v>
      </c>
      <c r="Z21" s="38"/>
      <c r="AA21" s="38"/>
      <c r="AB21" s="38"/>
      <c r="AC21" s="38"/>
    </row>
    <row r="22" spans="1:43" x14ac:dyDescent="0.15">
      <c r="A22" s="136"/>
      <c r="B22" s="136" t="s">
        <v>349</v>
      </c>
      <c r="C22" s="135"/>
      <c r="D22" s="135"/>
      <c r="E22" s="135"/>
      <c r="F22" s="38">
        <f t="shared" si="1"/>
        <v>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21">
        <f t="shared" si="0"/>
        <v>0</v>
      </c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>
        <v>0</v>
      </c>
    </row>
    <row r="23" spans="1:43" x14ac:dyDescent="0.15">
      <c r="A23" s="136"/>
      <c r="B23" s="135"/>
      <c r="C23" s="135" t="s">
        <v>332</v>
      </c>
      <c r="D23" s="135"/>
      <c r="E23" s="135"/>
      <c r="F23" s="38">
        <f t="shared" si="1"/>
        <v>119452.5</v>
      </c>
      <c r="G23" s="38"/>
      <c r="H23" s="38"/>
      <c r="I23" s="38"/>
      <c r="J23" s="38"/>
      <c r="K23" s="38"/>
      <c r="L23" s="38">
        <v>862.5</v>
      </c>
      <c r="M23" s="38">
        <v>2550</v>
      </c>
      <c r="N23" s="38">
        <v>15850</v>
      </c>
      <c r="O23" s="38">
        <v>18400</v>
      </c>
      <c r="P23" s="38">
        <v>15850</v>
      </c>
      <c r="Q23" s="38">
        <v>15850</v>
      </c>
      <c r="R23" s="121">
        <f t="shared" si="0"/>
        <v>50090</v>
      </c>
      <c r="S23" s="38">
        <v>15850</v>
      </c>
      <c r="T23" s="38">
        <v>2100</v>
      </c>
      <c r="U23" s="38">
        <v>2565</v>
      </c>
      <c r="V23" s="38">
        <f>3702.5+3702.5-200.5</f>
        <v>7204.5</v>
      </c>
      <c r="W23" s="38"/>
      <c r="X23" s="38">
        <v>3743</v>
      </c>
      <c r="Y23" s="38">
        <f>6067+7072.5</f>
        <v>13139.5</v>
      </c>
      <c r="Z23" s="38">
        <v>1713</v>
      </c>
      <c r="AA23" s="38">
        <v>1387.5</v>
      </c>
      <c r="AB23" s="38">
        <v>2387.5</v>
      </c>
      <c r="AC23" s="38">
        <v>0</v>
      </c>
    </row>
    <row r="24" spans="1:43" x14ac:dyDescent="0.15">
      <c r="A24" s="136"/>
      <c r="B24" s="135"/>
      <c r="C24" s="135"/>
      <c r="D24" s="135"/>
      <c r="E24" s="135"/>
      <c r="F24" s="38">
        <f t="shared" si="1"/>
        <v>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121">
        <f t="shared" si="0"/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1:43" x14ac:dyDescent="0.15">
      <c r="A25" s="136"/>
      <c r="B25" s="136" t="s">
        <v>318</v>
      </c>
      <c r="C25" s="135"/>
      <c r="D25" s="135"/>
      <c r="E25" s="135"/>
      <c r="F25" s="38">
        <f t="shared" si="1"/>
        <v>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121">
        <f t="shared" si="0"/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43" x14ac:dyDescent="0.15">
      <c r="A26" s="136"/>
      <c r="B26" s="135"/>
      <c r="C26" s="135" t="s">
        <v>319</v>
      </c>
      <c r="D26" s="135"/>
      <c r="E26" s="135"/>
      <c r="F26" s="38">
        <f t="shared" si="1"/>
        <v>4548978.6500000004</v>
      </c>
      <c r="G26" s="38"/>
      <c r="H26" s="38"/>
      <c r="I26" s="38"/>
      <c r="J26" s="38"/>
      <c r="K26" s="38"/>
      <c r="L26" s="38">
        <v>47002</v>
      </c>
      <c r="M26" s="38">
        <v>473474</v>
      </c>
      <c r="N26" s="38">
        <v>465827</v>
      </c>
      <c r="O26" s="38">
        <v>844326</v>
      </c>
      <c r="P26" s="38">
        <v>1020269</v>
      </c>
      <c r="Q26" s="38">
        <v>880559.86</v>
      </c>
      <c r="R26" s="121">
        <f t="shared" si="0"/>
        <v>817520.79</v>
      </c>
      <c r="S26" s="38">
        <v>331847.28000000003</v>
      </c>
      <c r="T26" s="38">
        <f>496411.61-10738.1</f>
        <v>485673.51</v>
      </c>
      <c r="U26" s="38"/>
      <c r="V26" s="38"/>
      <c r="W26" s="38"/>
      <c r="X26" s="38"/>
      <c r="Y26" s="38"/>
      <c r="Z26" s="38"/>
      <c r="AA26" s="38"/>
      <c r="AB26" s="38"/>
      <c r="AC26" s="38"/>
    </row>
    <row r="27" spans="1:43" x14ac:dyDescent="0.15">
      <c r="A27" s="136"/>
      <c r="B27" s="135"/>
      <c r="C27" s="135"/>
      <c r="D27" s="135"/>
      <c r="E27" s="135"/>
      <c r="F27" s="38">
        <f t="shared" si="1"/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21">
        <f t="shared" si="0"/>
        <v>0</v>
      </c>
      <c r="T27" s="38"/>
      <c r="X27" s="38"/>
      <c r="Y27" s="38"/>
      <c r="Z27" s="38"/>
      <c r="AA27" s="38"/>
      <c r="AB27" s="38"/>
      <c r="AC27" s="38"/>
    </row>
    <row r="28" spans="1:43" x14ac:dyDescent="0.15">
      <c r="A28" s="136"/>
      <c r="B28" s="136" t="s">
        <v>328</v>
      </c>
      <c r="C28" s="135"/>
      <c r="D28" s="135"/>
      <c r="E28" s="38">
        <f>SUM(F28:AO28)</f>
        <v>28844.44</v>
      </c>
      <c r="F28" s="38">
        <f t="shared" si="1"/>
        <v>14200.25</v>
      </c>
      <c r="G28" s="38"/>
      <c r="H28" s="38"/>
      <c r="I28" s="38">
        <f>1197.55-17.48</f>
        <v>1180.07</v>
      </c>
      <c r="J28" s="38">
        <v>3094.71</v>
      </c>
      <c r="K28" s="38">
        <v>2695.52</v>
      </c>
      <c r="L28" s="38">
        <f>7594.48-3797.24</f>
        <v>3797.24</v>
      </c>
      <c r="M28" s="38">
        <v>2988.77</v>
      </c>
      <c r="N28" s="38"/>
      <c r="O28" s="38"/>
      <c r="P28" s="38"/>
      <c r="Q28" s="38"/>
      <c r="R28" s="121">
        <f t="shared" si="0"/>
        <v>443.94</v>
      </c>
      <c r="S28" s="38"/>
      <c r="T28" s="38"/>
      <c r="U28" s="38"/>
      <c r="V28" s="38">
        <f>7.63-3.9</f>
        <v>3.73</v>
      </c>
      <c r="W28" s="38">
        <v>440.21</v>
      </c>
      <c r="X28" s="38"/>
      <c r="Y28" s="38"/>
      <c r="Z28" s="38"/>
      <c r="AA28" s="38"/>
      <c r="AB28" s="38"/>
      <c r="AC28" s="38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47"/>
    </row>
    <row r="29" spans="1:43" x14ac:dyDescent="0.15">
      <c r="A29" s="136"/>
      <c r="B29" s="136"/>
      <c r="C29" s="135"/>
      <c r="D29" s="135"/>
      <c r="E29" s="38"/>
      <c r="F29" s="38">
        <f t="shared" si="1"/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21">
        <f t="shared" si="0"/>
        <v>0</v>
      </c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47"/>
    </row>
    <row r="30" spans="1:43" x14ac:dyDescent="0.15">
      <c r="A30" s="136"/>
      <c r="B30" s="136" t="s">
        <v>350</v>
      </c>
      <c r="C30" s="135"/>
      <c r="D30" s="135"/>
      <c r="E30" s="38"/>
      <c r="F30" s="38">
        <f t="shared" si="1"/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121">
        <f t="shared" si="0"/>
        <v>0</v>
      </c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47"/>
    </row>
    <row r="31" spans="1:43" x14ac:dyDescent="0.15">
      <c r="A31" s="136"/>
      <c r="B31" s="136"/>
      <c r="C31" s="135" t="s">
        <v>351</v>
      </c>
      <c r="D31" s="135"/>
      <c r="E31" s="38"/>
      <c r="F31" s="38">
        <f t="shared" si="1"/>
        <v>1136.3499999999999</v>
      </c>
      <c r="G31" s="38"/>
      <c r="H31" s="38"/>
      <c r="I31" s="38"/>
      <c r="J31" s="38"/>
      <c r="K31" s="38"/>
      <c r="L31" s="38"/>
      <c r="N31" s="38">
        <f>654+482.35</f>
        <v>1136.3499999999999</v>
      </c>
      <c r="O31" s="38"/>
      <c r="P31" s="38"/>
      <c r="Q31" s="38"/>
      <c r="R31" s="121">
        <f t="shared" si="0"/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47"/>
    </row>
    <row r="32" spans="1:43" x14ac:dyDescent="0.15">
      <c r="A32" s="136"/>
      <c r="B32" s="136"/>
      <c r="C32" s="135" t="s">
        <v>352</v>
      </c>
      <c r="D32" s="135"/>
      <c r="E32" s="38"/>
      <c r="F32" s="38">
        <f t="shared" si="1"/>
        <v>3630.3900000000003</v>
      </c>
      <c r="G32" s="38"/>
      <c r="H32" s="38"/>
      <c r="I32" s="38"/>
      <c r="J32" s="38"/>
      <c r="K32" s="38"/>
      <c r="L32" s="38"/>
      <c r="M32" s="38">
        <f>225+779+84.89</f>
        <v>1088.8900000000001</v>
      </c>
      <c r="N32" s="38">
        <f>337.5+2204</f>
        <v>2541.5</v>
      </c>
      <c r="O32" s="38"/>
      <c r="P32" s="38"/>
      <c r="Q32" s="38"/>
      <c r="R32" s="121">
        <f t="shared" si="0"/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47"/>
    </row>
    <row r="33" spans="1:43" x14ac:dyDescent="0.15">
      <c r="A33" s="136"/>
      <c r="B33" s="136"/>
      <c r="C33" s="135"/>
      <c r="D33" s="135"/>
      <c r="E33" s="38"/>
      <c r="F33" s="38">
        <f t="shared" si="1"/>
        <v>0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121">
        <f t="shared" si="0"/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47"/>
    </row>
    <row r="34" spans="1:43" x14ac:dyDescent="0.15">
      <c r="A34" s="136"/>
      <c r="B34" s="136" t="s">
        <v>353</v>
      </c>
      <c r="C34" s="136" t="s">
        <v>354</v>
      </c>
      <c r="D34" s="135"/>
      <c r="E34" s="38"/>
      <c r="F34" s="38">
        <f t="shared" si="1"/>
        <v>0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121">
        <f t="shared" si="0"/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47"/>
    </row>
    <row r="35" spans="1:43" x14ac:dyDescent="0.15">
      <c r="A35" s="136"/>
      <c r="B35" s="136"/>
      <c r="C35" s="135" t="s">
        <v>355</v>
      </c>
      <c r="D35" s="135"/>
      <c r="E35" s="38"/>
      <c r="F35" s="38">
        <f t="shared" si="1"/>
        <v>13836.5</v>
      </c>
      <c r="G35" s="38"/>
      <c r="H35" s="38"/>
      <c r="I35" s="38"/>
      <c r="J35" s="38"/>
      <c r="K35" s="38"/>
      <c r="L35" s="38"/>
      <c r="M35" s="38">
        <v>13836.5</v>
      </c>
      <c r="N35" s="38"/>
      <c r="O35" s="38"/>
      <c r="P35" s="38"/>
      <c r="Q35" s="38"/>
      <c r="R35" s="121">
        <f t="shared" si="0"/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47"/>
    </row>
    <row r="36" spans="1:43" x14ac:dyDescent="0.15">
      <c r="A36" s="136"/>
      <c r="B36" s="136"/>
      <c r="C36" s="135"/>
      <c r="D36" s="135"/>
      <c r="E36" s="38"/>
      <c r="F36" s="38">
        <f t="shared" si="1"/>
        <v>0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121">
        <f t="shared" si="0"/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47"/>
    </row>
    <row r="37" spans="1:43" x14ac:dyDescent="0.15">
      <c r="A37" s="136"/>
      <c r="B37" s="136" t="s">
        <v>353</v>
      </c>
      <c r="C37" s="135"/>
      <c r="D37" s="135"/>
      <c r="E37" s="38"/>
      <c r="F37" s="38">
        <f t="shared" si="1"/>
        <v>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21">
        <f t="shared" si="0"/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47"/>
    </row>
    <row r="38" spans="1:43" x14ac:dyDescent="0.15">
      <c r="A38" s="136"/>
      <c r="B38" s="136"/>
      <c r="C38" s="135" t="s">
        <v>356</v>
      </c>
      <c r="D38" s="135"/>
      <c r="E38" s="38"/>
      <c r="F38" s="38">
        <f t="shared" si="1"/>
        <v>58482.17</v>
      </c>
      <c r="G38" s="38"/>
      <c r="H38" s="38"/>
      <c r="I38" s="38"/>
      <c r="J38" s="38"/>
      <c r="K38" s="38"/>
      <c r="L38" s="31">
        <v>15500</v>
      </c>
      <c r="M38" s="38">
        <f>45.3+6.17</f>
        <v>51.47</v>
      </c>
      <c r="N38" s="38">
        <f>585+1976</f>
        <v>2561</v>
      </c>
      <c r="O38" s="38">
        <f>1097.46+39272.24</f>
        <v>40369.699999999997</v>
      </c>
      <c r="P38" s="38"/>
      <c r="Q38" s="38"/>
      <c r="R38" s="121">
        <f t="shared" si="0"/>
        <v>0</v>
      </c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47"/>
    </row>
    <row r="39" spans="1:43" x14ac:dyDescent="0.15">
      <c r="A39" s="136"/>
      <c r="B39" s="136"/>
      <c r="C39" s="135"/>
      <c r="D39" s="135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21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47"/>
    </row>
    <row r="40" spans="1:43" x14ac:dyDescent="0.15">
      <c r="A40" s="136"/>
      <c r="B40" s="136"/>
      <c r="C40" s="135"/>
      <c r="D40" s="135"/>
      <c r="E40" s="38"/>
      <c r="F40" s="38">
        <f t="shared" si="1"/>
        <v>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121">
        <f t="shared" si="0"/>
        <v>0</v>
      </c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47"/>
    </row>
    <row r="41" spans="1:43" x14ac:dyDescent="0.15">
      <c r="A41" s="136"/>
      <c r="B41" s="136" t="s">
        <v>357</v>
      </c>
      <c r="C41" s="135"/>
      <c r="D41" s="135"/>
      <c r="E41" s="38"/>
      <c r="F41" s="38">
        <f t="shared" si="1"/>
        <v>0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121">
        <f t="shared" si="0"/>
        <v>0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47"/>
    </row>
    <row r="42" spans="1:43" x14ac:dyDescent="0.15">
      <c r="A42" s="136"/>
      <c r="B42" s="136"/>
      <c r="C42" s="135" t="s">
        <v>358</v>
      </c>
      <c r="D42" s="135"/>
      <c r="E42" s="38"/>
      <c r="F42" s="38">
        <f t="shared" si="1"/>
        <v>55832.73</v>
      </c>
      <c r="G42" s="38"/>
      <c r="H42" s="38"/>
      <c r="I42" s="38">
        <v>55832.73</v>
      </c>
      <c r="J42" s="38"/>
      <c r="K42" s="38"/>
      <c r="L42" s="38"/>
      <c r="M42" s="38"/>
      <c r="N42" s="38"/>
      <c r="O42" s="38"/>
      <c r="P42" s="38"/>
      <c r="Q42" s="38"/>
      <c r="R42" s="121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47"/>
    </row>
    <row r="43" spans="1:43" x14ac:dyDescent="0.15">
      <c r="A43" s="136"/>
      <c r="B43" s="135"/>
      <c r="C43" s="135" t="s">
        <v>320</v>
      </c>
      <c r="D43" s="135"/>
      <c r="E43" s="38"/>
      <c r="F43" s="38">
        <f t="shared" si="1"/>
        <v>35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121">
        <f t="shared" si="0"/>
        <v>35</v>
      </c>
      <c r="S43" s="38"/>
      <c r="T43" s="38"/>
      <c r="U43" s="38"/>
      <c r="V43" s="38"/>
      <c r="W43" s="38">
        <v>35</v>
      </c>
      <c r="X43" s="38"/>
      <c r="Y43" s="38"/>
      <c r="Z43" s="38"/>
      <c r="AA43" s="38"/>
      <c r="AB43" s="38"/>
      <c r="AC43" s="38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47"/>
    </row>
    <row r="44" spans="1:43" x14ac:dyDescent="0.15">
      <c r="A44" s="136"/>
      <c r="B44" s="135"/>
      <c r="C44" s="135" t="s">
        <v>359</v>
      </c>
      <c r="D44" s="135"/>
      <c r="E44" s="38"/>
      <c r="F44" s="38">
        <f t="shared" si="1"/>
        <v>70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21">
        <f t="shared" si="0"/>
        <v>70</v>
      </c>
      <c r="S44" s="38">
        <v>70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47"/>
    </row>
    <row r="45" spans="1:43" x14ac:dyDescent="0.15">
      <c r="A45" s="136"/>
      <c r="B45" s="135"/>
      <c r="C45" s="135"/>
      <c r="D45" s="135"/>
      <c r="E45" s="135"/>
      <c r="F45" s="38">
        <f t="shared" si="1"/>
        <v>0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21">
        <f t="shared" si="0"/>
        <v>0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43" x14ac:dyDescent="0.15">
      <c r="A46" s="136"/>
      <c r="B46" s="136" t="s">
        <v>360</v>
      </c>
      <c r="C46" s="135"/>
      <c r="D46" s="135"/>
      <c r="E46" s="135"/>
      <c r="F46" s="38">
        <f t="shared" si="1"/>
        <v>0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121">
        <f t="shared" si="0"/>
        <v>0</v>
      </c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43" x14ac:dyDescent="0.15">
      <c r="A47" s="136"/>
      <c r="B47" s="136"/>
      <c r="C47" s="135" t="s">
        <v>361</v>
      </c>
      <c r="D47" s="135"/>
      <c r="E47" s="135"/>
      <c r="F47" s="38">
        <f t="shared" si="1"/>
        <v>3182.8500000000004</v>
      </c>
      <c r="G47" s="38"/>
      <c r="H47" s="38"/>
      <c r="I47" s="38"/>
      <c r="J47" s="38">
        <v>1799.2</v>
      </c>
      <c r="K47" s="38"/>
      <c r="L47" s="38">
        <v>225</v>
      </c>
      <c r="M47" s="38">
        <f>45+866.15+247.5</f>
        <v>1158.6500000000001</v>
      </c>
      <c r="N47" s="38"/>
      <c r="O47" s="38"/>
      <c r="P47" s="38"/>
      <c r="Q47" s="38"/>
      <c r="R47" s="121">
        <f t="shared" si="0"/>
        <v>0</v>
      </c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43" x14ac:dyDescent="0.15">
      <c r="A48" s="136"/>
      <c r="B48" s="136"/>
      <c r="C48" s="135" t="s">
        <v>362</v>
      </c>
      <c r="D48" s="135"/>
      <c r="E48" s="135"/>
      <c r="F48" s="38">
        <f t="shared" si="1"/>
        <v>2400</v>
      </c>
      <c r="G48" s="38"/>
      <c r="H48" s="38"/>
      <c r="I48" s="38"/>
      <c r="J48" s="38"/>
      <c r="K48" s="38"/>
      <c r="L48" s="38"/>
      <c r="M48" s="38"/>
      <c r="N48" s="38"/>
      <c r="Q48" s="38"/>
      <c r="R48" s="121">
        <f t="shared" si="0"/>
        <v>2400</v>
      </c>
      <c r="S48" s="38">
        <v>2400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:29" x14ac:dyDescent="0.15">
      <c r="A49" s="136"/>
      <c r="B49" s="135"/>
      <c r="C49" s="135" t="s">
        <v>363</v>
      </c>
      <c r="D49" s="135"/>
      <c r="E49" s="135"/>
      <c r="F49" s="38">
        <f t="shared" si="1"/>
        <v>663.5</v>
      </c>
      <c r="G49" s="38"/>
      <c r="H49" s="38"/>
      <c r="I49" s="38"/>
      <c r="J49" s="38"/>
      <c r="K49" s="38">
        <f>76+120</f>
        <v>196</v>
      </c>
      <c r="L49" s="38">
        <v>40</v>
      </c>
      <c r="M49" s="38"/>
      <c r="N49" s="38"/>
      <c r="O49" s="38"/>
      <c r="P49" s="38"/>
      <c r="Q49" s="38"/>
      <c r="R49" s="121">
        <f t="shared" si="0"/>
        <v>427.5</v>
      </c>
      <c r="S49" s="30"/>
      <c r="T49" s="38">
        <v>112.5</v>
      </c>
      <c r="U49" s="38">
        <v>112.5</v>
      </c>
      <c r="V49" s="38">
        <v>202.5</v>
      </c>
      <c r="W49" s="38"/>
      <c r="X49" s="38"/>
      <c r="Y49" s="38"/>
      <c r="Z49" s="38"/>
      <c r="AA49" s="38"/>
      <c r="AB49" s="38"/>
      <c r="AC49" s="38"/>
    </row>
    <row r="50" spans="1:29" x14ac:dyDescent="0.15">
      <c r="A50" s="136"/>
      <c r="B50" s="135"/>
      <c r="C50" s="135" t="s">
        <v>364</v>
      </c>
      <c r="D50" s="135"/>
      <c r="E50" s="135"/>
      <c r="F50" s="38">
        <f t="shared" si="1"/>
        <v>599</v>
      </c>
      <c r="G50" s="38"/>
      <c r="H50" s="38"/>
      <c r="I50" s="38"/>
      <c r="J50" s="38"/>
      <c r="K50" s="38">
        <v>599</v>
      </c>
      <c r="L50" s="38"/>
      <c r="M50" s="38"/>
      <c r="N50" s="38"/>
      <c r="O50" s="38"/>
      <c r="P50" s="38"/>
      <c r="Q50" s="38"/>
      <c r="R50" s="121">
        <f t="shared" si="0"/>
        <v>0</v>
      </c>
      <c r="S50" s="30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:29" x14ac:dyDescent="0.15">
      <c r="A51" s="136"/>
      <c r="B51" s="135"/>
      <c r="C51" s="135" t="s">
        <v>365</v>
      </c>
      <c r="D51" s="135"/>
      <c r="E51" s="135"/>
      <c r="F51" s="38">
        <f t="shared" si="1"/>
        <v>1478.25</v>
      </c>
      <c r="G51" s="38"/>
      <c r="H51" s="38"/>
      <c r="I51" s="38"/>
      <c r="J51" s="38"/>
      <c r="K51" s="38">
        <v>1478.25</v>
      </c>
      <c r="L51" s="38"/>
      <c r="M51" s="38"/>
      <c r="N51" s="38"/>
      <c r="O51" s="38"/>
      <c r="P51" s="38"/>
      <c r="Q51" s="38"/>
      <c r="R51" s="121">
        <f t="shared" si="0"/>
        <v>0</v>
      </c>
      <c r="S51" s="30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:29" x14ac:dyDescent="0.15">
      <c r="A52" s="136"/>
      <c r="B52" s="135"/>
      <c r="C52" s="135"/>
      <c r="D52" s="135"/>
      <c r="E52" s="135"/>
      <c r="F52" s="38">
        <f t="shared" si="1"/>
        <v>0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121">
        <f t="shared" si="0"/>
        <v>0</v>
      </c>
      <c r="S52" s="30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:29" x14ac:dyDescent="0.15">
      <c r="A53" s="136"/>
      <c r="B53" s="136" t="s">
        <v>366</v>
      </c>
      <c r="C53" s="135"/>
      <c r="D53" s="135"/>
      <c r="E53" s="135"/>
      <c r="F53" s="38">
        <f t="shared" si="1"/>
        <v>0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21">
        <f t="shared" si="0"/>
        <v>0</v>
      </c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x14ac:dyDescent="0.15">
      <c r="A54" s="136"/>
      <c r="B54" s="136"/>
      <c r="C54" s="135" t="s">
        <v>336</v>
      </c>
      <c r="D54" s="135"/>
      <c r="E54" s="135"/>
      <c r="F54" s="38">
        <f t="shared" si="1"/>
        <v>70789.97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>
        <v>59094.720000000001</v>
      </c>
      <c r="R54" s="121">
        <f t="shared" si="0"/>
        <v>11695.25</v>
      </c>
      <c r="S54" s="38"/>
      <c r="T54" s="38"/>
      <c r="U54" s="38">
        <v>11695.25</v>
      </c>
      <c r="V54" s="38"/>
      <c r="W54" s="38"/>
      <c r="X54" s="38"/>
      <c r="Y54" s="38"/>
      <c r="Z54" s="38"/>
      <c r="AA54" s="38"/>
      <c r="AB54" s="38"/>
      <c r="AC54" s="38"/>
    </row>
    <row r="55" spans="1:29" x14ac:dyDescent="0.15">
      <c r="A55" s="136"/>
      <c r="B55" s="136"/>
      <c r="C55" s="135"/>
      <c r="D55" s="135"/>
      <c r="E55" s="135"/>
      <c r="F55" s="38">
        <f t="shared" si="1"/>
        <v>0</v>
      </c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2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x14ac:dyDescent="0.15">
      <c r="A56" s="135"/>
      <c r="B56" s="135"/>
      <c r="C56" s="135"/>
      <c r="D56" s="135"/>
      <c r="E56" s="135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123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1:29" x14ac:dyDescent="0.15">
      <c r="A57" s="136" t="s">
        <v>367</v>
      </c>
      <c r="B57" s="135"/>
      <c r="C57" s="135"/>
      <c r="D57" s="135"/>
      <c r="E57" s="135"/>
      <c r="F57" s="38">
        <f>SUM(F16:F56)</f>
        <v>5142603.9499999993</v>
      </c>
      <c r="G57" s="38">
        <f>SUM(G16:G56)</f>
        <v>0</v>
      </c>
      <c r="H57" s="38"/>
      <c r="I57" s="38">
        <f>SUM(I16:I56)-I12</f>
        <v>64435.100000000006</v>
      </c>
      <c r="J57" s="38">
        <f>SUM(J16:J56)-J12</f>
        <v>5412.84</v>
      </c>
      <c r="K57" s="38">
        <f>SUM(K16:K56)-K12</f>
        <v>5487.51</v>
      </c>
      <c r="L57" s="38">
        <f t="shared" ref="L57:V57" si="2">SUM(L16:L56)</f>
        <v>69383.040000000008</v>
      </c>
      <c r="M57" s="38">
        <f t="shared" si="2"/>
        <v>504434.98000000004</v>
      </c>
      <c r="N57" s="38">
        <f t="shared" si="2"/>
        <v>497456.8</v>
      </c>
      <c r="O57" s="38">
        <f t="shared" si="2"/>
        <v>913878.09</v>
      </c>
      <c r="P57" s="38">
        <f t="shared" si="2"/>
        <v>1049090.3999999999</v>
      </c>
      <c r="Q57" s="38">
        <f t="shared" si="2"/>
        <v>966250.05999999994</v>
      </c>
      <c r="R57" s="122">
        <f>SUM(R9:R56)</f>
        <v>3210043.6</v>
      </c>
      <c r="S57" s="38">
        <f t="shared" si="2"/>
        <v>360802.28</v>
      </c>
      <c r="T57" s="38">
        <f t="shared" si="2"/>
        <v>497983.01</v>
      </c>
      <c r="U57" s="38">
        <f t="shared" si="2"/>
        <v>23065.85</v>
      </c>
      <c r="V57" s="38">
        <f t="shared" si="2"/>
        <v>21316.59</v>
      </c>
      <c r="W57" s="38">
        <f>SUM(W15:W56)</f>
        <v>995.21</v>
      </c>
      <c r="X57" s="38">
        <f t="shared" ref="X57:AC57" si="3">SUM(X15:X56)</f>
        <v>10472.6</v>
      </c>
      <c r="Y57" s="38">
        <f t="shared" si="3"/>
        <v>56239.48</v>
      </c>
      <c r="Z57" s="38">
        <f t="shared" si="3"/>
        <v>62578.18</v>
      </c>
      <c r="AA57" s="38">
        <f t="shared" si="3"/>
        <v>1387.5</v>
      </c>
      <c r="AB57" s="38">
        <f t="shared" si="3"/>
        <v>26660.9</v>
      </c>
      <c r="AC57" s="38">
        <f t="shared" si="3"/>
        <v>5271.2</v>
      </c>
    </row>
    <row r="58" spans="1:29" x14ac:dyDescent="0.15">
      <c r="A58" s="136"/>
      <c r="B58" s="135"/>
      <c r="C58" s="135"/>
      <c r="D58" s="135"/>
      <c r="E58" s="13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 spans="1:29" x14ac:dyDescent="0.15">
      <c r="A59" s="135"/>
      <c r="B59" s="135"/>
      <c r="C59" s="135"/>
      <c r="D59" s="135"/>
      <c r="E59" s="135"/>
      <c r="F59" s="40"/>
      <c r="G59" s="40"/>
      <c r="H59" s="40"/>
      <c r="I59" s="40"/>
      <c r="J59" s="40"/>
      <c r="K59" s="138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x14ac:dyDescent="0.15">
      <c r="A60" s="135"/>
      <c r="B60" s="135"/>
      <c r="C60" s="135"/>
      <c r="D60" s="135"/>
      <c r="E60" s="135"/>
      <c r="F60" s="40"/>
      <c r="G60" s="40"/>
      <c r="H60" s="40"/>
      <c r="I60" s="40"/>
      <c r="J60" s="40"/>
      <c r="K60" s="138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29" x14ac:dyDescent="0.15">
      <c r="A61" s="135"/>
      <c r="B61" s="135"/>
      <c r="C61" s="135"/>
      <c r="D61" s="135"/>
      <c r="E61" s="135"/>
      <c r="F61" s="41"/>
      <c r="G61" s="40"/>
      <c r="H61" s="40"/>
      <c r="I61" s="40"/>
      <c r="J61" s="40"/>
      <c r="K61" s="138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1:29" ht="14" thickBot="1" x14ac:dyDescent="0.2">
      <c r="A62" s="136" t="s">
        <v>340</v>
      </c>
      <c r="B62" s="135"/>
      <c r="C62" s="135"/>
      <c r="D62" s="135"/>
      <c r="E62" s="135"/>
      <c r="F62" s="42">
        <f>+F9+F10+F11+F12+F13-F57</f>
        <v>102124.19000000041</v>
      </c>
      <c r="G62" s="40"/>
      <c r="H62" s="40"/>
      <c r="I62" s="40"/>
      <c r="J62" s="40"/>
      <c r="K62" s="138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ht="14" thickTop="1" x14ac:dyDescent="0.15">
      <c r="F63" s="35"/>
      <c r="G63" s="34"/>
      <c r="H63" s="34"/>
      <c r="I63" s="34"/>
      <c r="J63" s="34"/>
      <c r="K63" s="35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1:29" x14ac:dyDescent="0.15">
      <c r="A64" s="28"/>
      <c r="F64" s="67"/>
      <c r="G64" s="43"/>
      <c r="H64" s="43"/>
      <c r="I64" s="43"/>
      <c r="J64" s="43"/>
      <c r="K64" s="67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</row>
    <row r="65" spans="4:29" x14ac:dyDescent="0.15">
      <c r="F65" s="43"/>
      <c r="G65" s="43"/>
      <c r="H65" s="43"/>
      <c r="I65" s="43"/>
      <c r="J65" s="43"/>
      <c r="K65" s="67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</row>
    <row r="66" spans="4:29" x14ac:dyDescent="0.15">
      <c r="F66" s="67"/>
      <c r="G66" s="44"/>
      <c r="H66" s="44"/>
      <c r="I66" s="44"/>
      <c r="J66" s="44"/>
      <c r="K66" s="67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4:29" x14ac:dyDescent="0.15">
      <c r="F67" s="139"/>
      <c r="G67" s="44"/>
      <c r="H67" s="44"/>
      <c r="I67" s="44"/>
      <c r="J67" s="44"/>
      <c r="K67" s="67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4:29" x14ac:dyDescent="0.15">
      <c r="F68" s="139"/>
      <c r="G68" s="44"/>
      <c r="H68" s="44"/>
      <c r="I68" s="44"/>
      <c r="J68" s="44"/>
      <c r="K68" s="67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4:29" x14ac:dyDescent="0.15">
      <c r="F69" s="139"/>
      <c r="G69" s="44"/>
      <c r="H69" s="44"/>
      <c r="I69" s="44"/>
      <c r="J69" s="44"/>
      <c r="K69" s="67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4:29" x14ac:dyDescent="0.15">
      <c r="F70" s="139"/>
      <c r="G70" s="44"/>
      <c r="H70" s="44"/>
      <c r="I70" s="44"/>
      <c r="J70" s="44"/>
      <c r="K70" s="67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4:29" x14ac:dyDescent="0.15">
      <c r="F71" s="138"/>
      <c r="K71" s="35"/>
    </row>
    <row r="72" spans="4:29" x14ac:dyDescent="0.15">
      <c r="K72" s="35"/>
    </row>
    <row r="73" spans="4:29" x14ac:dyDescent="0.15">
      <c r="K73" s="35"/>
    </row>
    <row r="75" spans="4:29" x14ac:dyDescent="0.15">
      <c r="D75" s="36"/>
    </row>
    <row r="76" spans="4:29" x14ac:dyDescent="0.15">
      <c r="D76" s="36"/>
    </row>
    <row r="77" spans="4:29" x14ac:dyDescent="0.15">
      <c r="D77" s="36"/>
    </row>
  </sheetData>
  <mergeCells count="3">
    <mergeCell ref="A1:F1"/>
    <mergeCell ref="A2:F2"/>
    <mergeCell ref="A3:F3"/>
  </mergeCells>
  <pageMargins left="0.22" right="0.2" top="0.75" bottom="0.75" header="0.3" footer="0.3"/>
  <pageSetup scale="54" orientation="landscape" r:id="rId1"/>
  <headerFooter>
    <oddFooter>&amp;CFor Internal Use Only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8"/>
  <sheetViews>
    <sheetView workbookViewId="0">
      <selection activeCell="C29" sqref="C29"/>
    </sheetView>
  </sheetViews>
  <sheetFormatPr baseColWidth="10" defaultColWidth="8.83203125" defaultRowHeight="15" x14ac:dyDescent="0.2"/>
  <cols>
    <col min="1" max="1" width="10.6640625" bestFit="1" customWidth="1"/>
    <col min="2" max="2" width="11.83203125" customWidth="1"/>
    <col min="3" max="3" width="28.5" customWidth="1"/>
    <col min="4" max="6" width="12.6640625" customWidth="1"/>
  </cols>
  <sheetData>
    <row r="1" spans="1:8" ht="16" x14ac:dyDescent="0.2">
      <c r="A1" s="251" t="s">
        <v>368</v>
      </c>
      <c r="B1" s="251"/>
      <c r="C1" s="251"/>
      <c r="D1" s="251"/>
      <c r="E1" s="251"/>
      <c r="F1" s="251"/>
      <c r="G1" s="12"/>
      <c r="H1" s="8"/>
    </row>
    <row r="2" spans="1:8" x14ac:dyDescent="0.2">
      <c r="A2" s="252" t="s">
        <v>369</v>
      </c>
      <c r="B2" s="252"/>
      <c r="C2" s="252"/>
      <c r="D2" s="252"/>
      <c r="E2" s="252"/>
      <c r="F2" s="252"/>
      <c r="G2" s="12"/>
      <c r="H2" s="8"/>
    </row>
    <row r="3" spans="1:8" ht="16" x14ac:dyDescent="0.2">
      <c r="A3" s="253" t="s">
        <v>370</v>
      </c>
      <c r="B3" s="253"/>
      <c r="C3" s="253"/>
      <c r="D3" s="253"/>
      <c r="E3" s="253"/>
      <c r="F3" s="253"/>
      <c r="G3" s="13"/>
      <c r="H3" s="14"/>
    </row>
    <row r="4" spans="1:8" x14ac:dyDescent="0.2">
      <c r="A4" s="254" t="e">
        <f>+#REF!</f>
        <v>#REF!</v>
      </c>
      <c r="B4" s="254"/>
      <c r="C4" s="254"/>
      <c r="D4" s="254"/>
      <c r="E4" s="254"/>
      <c r="F4" s="254"/>
      <c r="G4" s="230"/>
      <c r="H4" s="14"/>
    </row>
    <row r="5" spans="1:8" x14ac:dyDescent="0.2">
      <c r="A5" s="14"/>
      <c r="B5" s="14"/>
      <c r="C5" s="14"/>
      <c r="D5" s="14"/>
      <c r="E5" s="14"/>
      <c r="F5" s="14"/>
      <c r="G5" s="14"/>
      <c r="H5" s="14"/>
    </row>
    <row r="6" spans="1:8" x14ac:dyDescent="0.2">
      <c r="A6" s="14"/>
      <c r="B6" s="14"/>
      <c r="C6" s="14"/>
      <c r="D6" s="14"/>
      <c r="E6" s="14"/>
      <c r="F6" s="14"/>
      <c r="G6" s="14"/>
      <c r="H6" s="14"/>
    </row>
    <row r="7" spans="1:8" x14ac:dyDescent="0.2">
      <c r="A7" s="15" t="s">
        <v>371</v>
      </c>
      <c r="B7" s="16" t="s">
        <v>372</v>
      </c>
      <c r="C7" s="15" t="s">
        <v>373</v>
      </c>
      <c r="D7" s="15" t="s">
        <v>374</v>
      </c>
      <c r="E7" s="15" t="s">
        <v>375</v>
      </c>
      <c r="F7" s="15" t="s">
        <v>301</v>
      </c>
      <c r="G7" s="14"/>
      <c r="H7" s="14"/>
    </row>
    <row r="8" spans="1:8" x14ac:dyDescent="0.2">
      <c r="A8" s="68">
        <v>41639</v>
      </c>
      <c r="C8" t="s">
        <v>376</v>
      </c>
      <c r="D8" s="53">
        <v>576</v>
      </c>
      <c r="E8" s="53"/>
      <c r="F8" s="53">
        <f>+D8-E8</f>
        <v>576</v>
      </c>
    </row>
    <row r="9" spans="1:8" x14ac:dyDescent="0.2">
      <c r="A9" s="68">
        <v>41670</v>
      </c>
      <c r="C9" t="s">
        <v>377</v>
      </c>
      <c r="D9" s="53"/>
      <c r="E9" s="53">
        <v>96</v>
      </c>
      <c r="F9" s="53">
        <f t="shared" ref="F9:F14" si="0">+F8+D9-E9</f>
        <v>480</v>
      </c>
    </row>
    <row r="10" spans="1:8" x14ac:dyDescent="0.2">
      <c r="A10" s="68">
        <v>41698</v>
      </c>
      <c r="C10" t="s">
        <v>377</v>
      </c>
      <c r="D10" s="53"/>
      <c r="E10" s="53">
        <v>96</v>
      </c>
      <c r="F10" s="53">
        <f t="shared" si="0"/>
        <v>384</v>
      </c>
    </row>
    <row r="11" spans="1:8" x14ac:dyDescent="0.2">
      <c r="A11" s="68">
        <v>41729</v>
      </c>
      <c r="D11" s="53"/>
      <c r="E11" s="53">
        <v>96</v>
      </c>
      <c r="F11" s="53">
        <f t="shared" si="0"/>
        <v>288</v>
      </c>
    </row>
    <row r="12" spans="1:8" x14ac:dyDescent="0.2">
      <c r="D12" s="53"/>
      <c r="E12" s="53"/>
      <c r="F12" s="53">
        <f t="shared" si="0"/>
        <v>288</v>
      </c>
    </row>
    <row r="13" spans="1:8" x14ac:dyDescent="0.2">
      <c r="D13" s="53"/>
      <c r="E13" s="53"/>
      <c r="F13" s="53">
        <f t="shared" si="0"/>
        <v>288</v>
      </c>
    </row>
    <row r="14" spans="1:8" x14ac:dyDescent="0.2">
      <c r="D14" s="53"/>
      <c r="E14" s="53"/>
      <c r="F14" s="53">
        <f t="shared" si="0"/>
        <v>288</v>
      </c>
    </row>
    <row r="15" spans="1:8" x14ac:dyDescent="0.2">
      <c r="D15" s="53"/>
      <c r="E15" s="53"/>
      <c r="F15" s="53"/>
    </row>
    <row r="16" spans="1:8" x14ac:dyDescent="0.2">
      <c r="D16" s="53"/>
      <c r="E16" s="53"/>
      <c r="F16" s="53"/>
    </row>
    <row r="17" spans="4:6" x14ac:dyDescent="0.2">
      <c r="D17" s="53"/>
      <c r="E17" s="53"/>
      <c r="F17" s="53"/>
    </row>
    <row r="18" spans="4:6" x14ac:dyDescent="0.2">
      <c r="D18" s="53"/>
      <c r="E18" s="53"/>
      <c r="F18" s="53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11"/>
  <sheetViews>
    <sheetView zoomScaleNormal="100" workbookViewId="0">
      <pane xSplit="11" ySplit="6" topLeftCell="S7" activePane="bottomRight" state="frozen"/>
      <selection pane="topRight" activeCell="L1" sqref="L1"/>
      <selection pane="bottomLeft" activeCell="A7" sqref="A7"/>
      <selection pane="bottomRight" activeCell="T69" sqref="T68:T69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27" style="3" customWidth="1"/>
    <col min="5" max="5" width="14.33203125" style="9" hidden="1" customWidth="1"/>
    <col min="6" max="6" width="13.1640625" style="9" hidden="1" customWidth="1"/>
    <col min="7" max="8" width="14.83203125" style="9" hidden="1" customWidth="1"/>
    <col min="9" max="9" width="18.33203125" style="9" hidden="1" customWidth="1"/>
    <col min="10" max="10" width="18.6640625" style="9" hidden="1" customWidth="1"/>
    <col min="11" max="11" width="15" style="27" hidden="1" customWidth="1"/>
    <col min="12" max="13" width="16.33203125" style="9" hidden="1" customWidth="1"/>
    <col min="14" max="14" width="12.33203125" style="53" hidden="1" customWidth="1"/>
    <col min="15" max="15" width="13.33203125" hidden="1" customWidth="1"/>
    <col min="16" max="16" width="14.5" hidden="1" customWidth="1"/>
    <col min="17" max="17" width="13.83203125" hidden="1" customWidth="1"/>
    <col min="18" max="18" width="13.6640625" hidden="1" customWidth="1"/>
    <col min="19" max="19" width="13.6640625" customWidth="1"/>
    <col min="20" max="20" width="12.33203125" bestFit="1" customWidth="1"/>
    <col min="21" max="27" width="16" bestFit="1" customWidth="1"/>
  </cols>
  <sheetData>
    <row r="1" spans="1:27" ht="20" x14ac:dyDescent="0.2">
      <c r="A1" s="240" t="s">
        <v>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27" ht="20" x14ac:dyDescent="0.2">
      <c r="A2" s="242" t="s">
        <v>378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</row>
    <row r="3" spans="1:27" x14ac:dyDescent="0.2">
      <c r="A3" s="2"/>
      <c r="B3" s="1"/>
      <c r="C3" s="1"/>
      <c r="D3" s="1"/>
    </row>
    <row r="4" spans="1:27" ht="42" customHeight="1" x14ac:dyDescent="0.2">
      <c r="A4" s="1"/>
      <c r="B4" s="1"/>
      <c r="C4" s="1"/>
      <c r="D4" s="1"/>
      <c r="E4" s="69" t="s">
        <v>164</v>
      </c>
      <c r="F4" s="70" t="s">
        <v>165</v>
      </c>
      <c r="G4" s="70" t="s">
        <v>166</v>
      </c>
      <c r="H4" s="70" t="s">
        <v>167</v>
      </c>
      <c r="I4" s="69" t="s">
        <v>168</v>
      </c>
      <c r="J4" s="81" t="s">
        <v>168</v>
      </c>
      <c r="K4" s="89" t="s">
        <v>169</v>
      </c>
      <c r="L4" s="74" t="s">
        <v>170</v>
      </c>
      <c r="M4" s="81" t="s">
        <v>72</v>
      </c>
      <c r="N4" s="104">
        <v>41791</v>
      </c>
      <c r="O4" s="105">
        <v>41821</v>
      </c>
      <c r="P4" s="105">
        <v>41852</v>
      </c>
      <c r="Q4" s="105">
        <v>41883</v>
      </c>
      <c r="R4" s="105">
        <v>41913</v>
      </c>
      <c r="S4" s="105"/>
      <c r="T4" s="125" t="s">
        <v>379</v>
      </c>
      <c r="U4" s="105" t="s">
        <v>380</v>
      </c>
      <c r="V4" s="105">
        <v>41974</v>
      </c>
      <c r="W4" s="105">
        <v>42005</v>
      </c>
      <c r="X4" s="105">
        <v>42036</v>
      </c>
      <c r="Y4" s="105">
        <v>42064</v>
      </c>
      <c r="Z4" s="105">
        <v>42095</v>
      </c>
      <c r="AA4" s="105">
        <v>42125</v>
      </c>
    </row>
    <row r="5" spans="1:27" s="5" customFormat="1" x14ac:dyDescent="0.2">
      <c r="A5" s="4"/>
      <c r="B5" s="4"/>
      <c r="C5" s="4"/>
      <c r="D5" s="4"/>
      <c r="E5" s="21" t="s">
        <v>10</v>
      </c>
      <c r="F5" s="21" t="s">
        <v>10</v>
      </c>
      <c r="G5" s="21" t="s">
        <v>174</v>
      </c>
      <c r="H5" s="21" t="s">
        <v>174</v>
      </c>
      <c r="I5" s="21" t="s">
        <v>175</v>
      </c>
      <c r="J5" s="82" t="s">
        <v>13</v>
      </c>
      <c r="K5" s="22" t="s">
        <v>168</v>
      </c>
      <c r="L5" s="75" t="s">
        <v>381</v>
      </c>
      <c r="M5" s="82"/>
      <c r="N5" s="106"/>
      <c r="S5" s="126">
        <v>41943</v>
      </c>
      <c r="T5" s="126">
        <v>41961</v>
      </c>
      <c r="U5" s="5" t="s">
        <v>382</v>
      </c>
      <c r="V5" s="5" t="s">
        <v>382</v>
      </c>
      <c r="W5" s="5" t="s">
        <v>382</v>
      </c>
      <c r="X5" s="5" t="s">
        <v>382</v>
      </c>
      <c r="Y5" s="5" t="s">
        <v>382</v>
      </c>
      <c r="Z5" s="5" t="s">
        <v>382</v>
      </c>
      <c r="AA5" s="5" t="s">
        <v>382</v>
      </c>
    </row>
    <row r="6" spans="1:27" x14ac:dyDescent="0.2">
      <c r="A6" s="255" t="s">
        <v>383</v>
      </c>
      <c r="B6" s="255"/>
      <c r="C6" s="255"/>
      <c r="D6" s="255"/>
      <c r="J6" s="83"/>
      <c r="K6" s="22" t="s">
        <v>180</v>
      </c>
      <c r="L6" s="75" t="s">
        <v>13</v>
      </c>
      <c r="M6" s="82"/>
    </row>
    <row r="7" spans="1:27" x14ac:dyDescent="0.2">
      <c r="A7" s="1"/>
      <c r="B7" s="1"/>
      <c r="C7" s="1"/>
      <c r="D7" s="1" t="s">
        <v>74</v>
      </c>
      <c r="E7" s="53">
        <f>+'[1]Income Statement'!H9</f>
        <v>295943.94</v>
      </c>
      <c r="F7" s="53">
        <v>32882.660000000003</v>
      </c>
      <c r="G7" s="53">
        <f>+'[1]Income Statement'!$E$9</f>
        <v>32882.660000000003</v>
      </c>
      <c r="H7" s="53">
        <f>+'[1]Income Statement'!$E$9</f>
        <v>32882.660000000003</v>
      </c>
      <c r="I7" s="53">
        <f t="shared" ref="I7:I12" si="0">+E7+F7+G7+H7</f>
        <v>394591.92000000004</v>
      </c>
      <c r="J7" s="84">
        <f>+'[1]Budget operating'!S8</f>
        <v>394591.92000000016</v>
      </c>
      <c r="K7" s="24">
        <f t="shared" ref="K7:K12" si="1">+I7-J7</f>
        <v>0</v>
      </c>
      <c r="L7" s="76" t="e">
        <f>+L74-#REF!</f>
        <v>#REF!</v>
      </c>
      <c r="M7" s="84" t="e">
        <f>+N7+O7+P7+Q7+R7</f>
        <v>#REF!</v>
      </c>
      <c r="N7" s="53" t="e">
        <f>+$L$7/12</f>
        <v>#REF!</v>
      </c>
      <c r="O7" s="53" t="e">
        <f>+$L$7/12</f>
        <v>#REF!</v>
      </c>
      <c r="P7" s="53" t="e">
        <f>+$L$7/12</f>
        <v>#REF!</v>
      </c>
      <c r="Q7" s="53" t="e">
        <f>+$L$7/12</f>
        <v>#REF!</v>
      </c>
      <c r="R7" s="53" t="e">
        <f>+$L$7/12</f>
        <v>#REF!</v>
      </c>
      <c r="S7" s="53"/>
      <c r="T7" s="53">
        <f>2375+2375+9500</f>
        <v>14250</v>
      </c>
      <c r="U7" s="53"/>
      <c r="V7" s="53">
        <f>98647.98-T7</f>
        <v>84397.98</v>
      </c>
      <c r="W7" s="53"/>
      <c r="X7" s="53"/>
      <c r="Y7" s="53">
        <f>32882.66*3</f>
        <v>98647.98000000001</v>
      </c>
      <c r="Z7" s="53"/>
      <c r="AA7" s="53"/>
    </row>
    <row r="8" spans="1:27" x14ac:dyDescent="0.2">
      <c r="A8" s="1"/>
      <c r="B8" s="1"/>
      <c r="C8" s="1"/>
      <c r="D8" s="1" t="s">
        <v>76</v>
      </c>
      <c r="E8" s="53">
        <f>+'[1]Income Statement'!H10</f>
        <v>17556.04</v>
      </c>
      <c r="F8" s="53">
        <f>+'[1]Income Statement'!$F$10</f>
        <v>1950.67</v>
      </c>
      <c r="G8" s="53">
        <f>+'[1]Income Statement'!$F$10</f>
        <v>1950.67</v>
      </c>
      <c r="H8" s="53">
        <f>+'[1]Income Statement'!$F$10</f>
        <v>1950.67</v>
      </c>
      <c r="I8" s="53">
        <f t="shared" si="0"/>
        <v>23408.049999999996</v>
      </c>
      <c r="J8" s="84">
        <f>+'[1]Budget Captial Reserve'!AC8</f>
        <v>23408.04</v>
      </c>
      <c r="K8" s="24">
        <f t="shared" si="1"/>
        <v>9.9999999947613105E-3</v>
      </c>
      <c r="L8" s="76">
        <v>23408.04</v>
      </c>
      <c r="M8" s="84">
        <f>+N8+O8+P8+Q8+R8</f>
        <v>9753.35</v>
      </c>
      <c r="N8" s="53">
        <f>+$L$8/12</f>
        <v>1950.67</v>
      </c>
      <c r="O8" s="53">
        <f>+$L$8/12</f>
        <v>1950.67</v>
      </c>
      <c r="P8" s="53">
        <f>+$L$8/12</f>
        <v>1950.67</v>
      </c>
      <c r="Q8" s="53">
        <f>+$L$8/12</f>
        <v>1950.67</v>
      </c>
      <c r="R8" s="53">
        <f>+$L$8/12</f>
        <v>1950.67</v>
      </c>
      <c r="S8" s="53"/>
      <c r="T8" s="53"/>
      <c r="U8" s="53"/>
      <c r="V8" s="53">
        <f>1950.67*3</f>
        <v>5852.01</v>
      </c>
      <c r="W8" s="53"/>
      <c r="X8" s="53"/>
      <c r="Y8" s="53">
        <f>1950.67*3</f>
        <v>5852.01</v>
      </c>
      <c r="Z8" s="53"/>
      <c r="AA8" s="53"/>
    </row>
    <row r="9" spans="1:27" ht="29.25" hidden="1" customHeight="1" x14ac:dyDescent="0.2">
      <c r="A9" s="1"/>
      <c r="B9" s="1"/>
      <c r="C9" s="1"/>
      <c r="D9" s="1" t="s">
        <v>184</v>
      </c>
      <c r="E9" s="53">
        <f>+'[1]Income Statement'!H12</f>
        <v>-10700.19</v>
      </c>
      <c r="F9" s="53"/>
      <c r="G9" s="53"/>
      <c r="H9" s="53"/>
      <c r="I9" s="53">
        <f t="shared" si="0"/>
        <v>-10700.19</v>
      </c>
      <c r="J9" s="84"/>
      <c r="K9" s="24">
        <f t="shared" si="1"/>
        <v>-10700.19</v>
      </c>
      <c r="L9" s="76"/>
      <c r="M9" s="84">
        <f>+N9+O9+P9+Q9</f>
        <v>0</v>
      </c>
    </row>
    <row r="10" spans="1:27" hidden="1" x14ac:dyDescent="0.2">
      <c r="A10" s="1"/>
      <c r="B10" s="1"/>
      <c r="C10" s="1"/>
      <c r="D10" s="3" t="s">
        <v>77</v>
      </c>
      <c r="E10" s="53">
        <f>+'[1]Income Statement'!H14</f>
        <v>11.98</v>
      </c>
      <c r="F10" s="53">
        <v>1.28</v>
      </c>
      <c r="G10" s="53">
        <v>2</v>
      </c>
      <c r="H10" s="53">
        <v>2</v>
      </c>
      <c r="I10" s="53">
        <f t="shared" si="0"/>
        <v>17.259999999999998</v>
      </c>
      <c r="J10" s="85">
        <f>+'[1]Budget operating'!S12:S12</f>
        <v>120</v>
      </c>
      <c r="K10" s="24">
        <f t="shared" si="1"/>
        <v>-102.74000000000001</v>
      </c>
      <c r="L10" s="77"/>
      <c r="M10" s="84">
        <f>+N10+O10+P10+Q10</f>
        <v>0</v>
      </c>
    </row>
    <row r="11" spans="1:27" hidden="1" x14ac:dyDescent="0.2">
      <c r="A11" s="1"/>
      <c r="B11" s="1"/>
      <c r="C11" s="1"/>
      <c r="D11" s="3" t="s">
        <v>31</v>
      </c>
      <c r="E11" s="53">
        <f>+'[1]Income Statement'!H15</f>
        <v>29.06</v>
      </c>
      <c r="F11" s="53">
        <v>6.9</v>
      </c>
      <c r="G11" s="53">
        <v>5</v>
      </c>
      <c r="H11" s="53">
        <v>2</v>
      </c>
      <c r="I11" s="53">
        <f t="shared" si="0"/>
        <v>42.96</v>
      </c>
      <c r="J11" s="85"/>
      <c r="K11" s="24">
        <f t="shared" si="1"/>
        <v>42.96</v>
      </c>
      <c r="L11" s="77"/>
      <c r="M11" s="84">
        <f>+N11+O11+P11+Q11</f>
        <v>0</v>
      </c>
    </row>
    <row r="12" spans="1:27" x14ac:dyDescent="0.2">
      <c r="A12" s="1"/>
      <c r="B12" s="1"/>
      <c r="C12" s="1"/>
      <c r="D12" s="1"/>
      <c r="E12" s="140"/>
      <c r="F12" s="140"/>
      <c r="G12" s="140"/>
      <c r="H12" s="140"/>
      <c r="I12" s="140">
        <f t="shared" si="0"/>
        <v>0</v>
      </c>
      <c r="J12" s="86"/>
      <c r="K12" s="26">
        <f t="shared" si="1"/>
        <v>0</v>
      </c>
      <c r="L12" s="78"/>
      <c r="M12" s="86">
        <f>+N12+O12+P12+Q12</f>
        <v>0</v>
      </c>
      <c r="N12" s="140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27" x14ac:dyDescent="0.2">
      <c r="A13" s="1"/>
      <c r="B13" s="1"/>
      <c r="C13" s="1" t="s">
        <v>384</v>
      </c>
      <c r="D13" s="1"/>
      <c r="E13" s="53">
        <f t="shared" ref="E13:R13" si="2">SUM(E7:E12)</f>
        <v>302840.82999999996</v>
      </c>
      <c r="F13" s="53">
        <f t="shared" si="2"/>
        <v>34841.51</v>
      </c>
      <c r="G13" s="53">
        <f t="shared" si="2"/>
        <v>34840.33</v>
      </c>
      <c r="H13" s="53">
        <f t="shared" si="2"/>
        <v>34837.33</v>
      </c>
      <c r="I13" s="53">
        <f t="shared" si="2"/>
        <v>407360.00000000006</v>
      </c>
      <c r="J13" s="84">
        <f t="shared" si="2"/>
        <v>418119.96000000014</v>
      </c>
      <c r="K13" s="24">
        <f t="shared" si="2"/>
        <v>-10759.960000000006</v>
      </c>
      <c r="L13" s="76" t="e">
        <f t="shared" si="2"/>
        <v>#REF!</v>
      </c>
      <c r="M13" s="84" t="e">
        <f t="shared" si="2"/>
        <v>#REF!</v>
      </c>
      <c r="N13" s="53" t="e">
        <f t="shared" si="2"/>
        <v>#REF!</v>
      </c>
      <c r="O13" s="8" t="e">
        <f t="shared" si="2"/>
        <v>#REF!</v>
      </c>
      <c r="P13" s="8" t="e">
        <f t="shared" si="2"/>
        <v>#REF!</v>
      </c>
      <c r="Q13" s="8" t="e">
        <f t="shared" si="2"/>
        <v>#REF!</v>
      </c>
      <c r="R13" s="8" t="e">
        <f t="shared" si="2"/>
        <v>#REF!</v>
      </c>
      <c r="S13" s="8"/>
      <c r="T13" s="8">
        <f t="shared" ref="T13:AA13" si="3">SUM(T7:T12)</f>
        <v>14250</v>
      </c>
      <c r="U13" s="8"/>
      <c r="V13" s="8">
        <f t="shared" si="3"/>
        <v>90249.989999999991</v>
      </c>
      <c r="W13" s="8">
        <f t="shared" si="3"/>
        <v>0</v>
      </c>
      <c r="X13" s="8">
        <f t="shared" si="3"/>
        <v>0</v>
      </c>
      <c r="Y13" s="8">
        <f t="shared" si="3"/>
        <v>104499.99</v>
      </c>
      <c r="Z13" s="8">
        <f t="shared" si="3"/>
        <v>0</v>
      </c>
      <c r="AA13" s="8">
        <f t="shared" si="3"/>
        <v>0</v>
      </c>
    </row>
    <row r="14" spans="1:27" ht="18.75" customHeight="1" x14ac:dyDescent="0.2">
      <c r="A14" s="255" t="s">
        <v>385</v>
      </c>
      <c r="B14" s="255"/>
      <c r="C14" s="255"/>
      <c r="D14" s="255"/>
      <c r="E14" s="53"/>
      <c r="F14" s="53"/>
      <c r="G14" s="53"/>
      <c r="H14" s="53"/>
      <c r="I14" s="53"/>
      <c r="J14" s="84"/>
      <c r="K14" s="24"/>
      <c r="L14" s="76"/>
      <c r="M14" s="84"/>
    </row>
    <row r="15" spans="1:27" ht="17.25" customHeight="1" x14ac:dyDescent="0.2">
      <c r="A15" s="1"/>
      <c r="B15" s="1"/>
      <c r="C15" s="1" t="s">
        <v>79</v>
      </c>
      <c r="D15" s="1"/>
      <c r="E15" s="53"/>
      <c r="F15" s="53"/>
      <c r="G15" s="53"/>
      <c r="H15" s="53"/>
      <c r="I15" s="53"/>
      <c r="J15" s="84"/>
      <c r="K15" s="24"/>
      <c r="L15" s="76"/>
      <c r="M15" s="84"/>
    </row>
    <row r="16" spans="1:27" x14ac:dyDescent="0.2">
      <c r="A16" s="1"/>
      <c r="B16" s="1"/>
      <c r="C16" s="1"/>
      <c r="D16" s="1" t="s">
        <v>185</v>
      </c>
      <c r="E16" s="53">
        <f>+'[1]Income Statement'!H20</f>
        <v>0</v>
      </c>
      <c r="F16" s="53"/>
      <c r="G16" s="53"/>
      <c r="H16" s="53">
        <v>1800</v>
      </c>
      <c r="I16" s="53">
        <f t="shared" ref="I16:I26" si="4">+E16+F16+G16+H16</f>
        <v>1800</v>
      </c>
      <c r="J16" s="84">
        <f>+'[1]Budget operating'!S17</f>
        <v>1800</v>
      </c>
      <c r="K16" s="24">
        <f>+J16-L16</f>
        <v>1800</v>
      </c>
      <c r="L16" s="76"/>
      <c r="M16" s="84">
        <f t="shared" ref="M16:M26" si="5">+N16+O16+P16+Q16+R16</f>
        <v>0</v>
      </c>
    </row>
    <row r="17" spans="1:27" x14ac:dyDescent="0.2">
      <c r="A17" s="1"/>
      <c r="B17" s="1"/>
      <c r="C17" s="1"/>
      <c r="D17" s="1" t="s">
        <v>80</v>
      </c>
      <c r="E17" s="53">
        <f>+'[1]Income Statement'!H21</f>
        <v>2191.9</v>
      </c>
      <c r="F17" s="53"/>
      <c r="G17" s="53"/>
      <c r="H17" s="53"/>
      <c r="I17" s="53">
        <f t="shared" si="4"/>
        <v>2191.9</v>
      </c>
      <c r="J17" s="84">
        <f>+'[1]Budget operating'!S18</f>
        <v>7250</v>
      </c>
      <c r="K17" s="24">
        <f t="shared" ref="K17:K27" si="6">+J17-I17</f>
        <v>5058.1000000000004</v>
      </c>
      <c r="L17" s="76">
        <v>2500</v>
      </c>
      <c r="M17" s="84">
        <f t="shared" si="5"/>
        <v>2500</v>
      </c>
      <c r="N17" s="53">
        <v>500</v>
      </c>
      <c r="O17" s="53">
        <v>500</v>
      </c>
      <c r="P17" s="53">
        <v>500</v>
      </c>
      <c r="Q17" s="53">
        <v>500</v>
      </c>
      <c r="R17" s="53">
        <v>500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x14ac:dyDescent="0.2">
      <c r="A18" s="1"/>
      <c r="B18" s="1"/>
      <c r="C18" s="1"/>
      <c r="D18" s="1" t="s">
        <v>186</v>
      </c>
      <c r="E18" s="53">
        <f>+'[1]Income Statement'!H22</f>
        <v>0</v>
      </c>
      <c r="F18" s="53"/>
      <c r="G18" s="53"/>
      <c r="H18" s="53"/>
      <c r="I18" s="53">
        <f t="shared" si="4"/>
        <v>0</v>
      </c>
      <c r="J18" s="84">
        <f>+'[1]Budget operating'!S19</f>
        <v>3000</v>
      </c>
      <c r="K18" s="24">
        <f t="shared" si="6"/>
        <v>3000</v>
      </c>
      <c r="L18" s="76">
        <v>0</v>
      </c>
      <c r="M18" s="84">
        <f t="shared" si="5"/>
        <v>0</v>
      </c>
      <c r="N18" s="53">
        <f>+$L$18/12</f>
        <v>0</v>
      </c>
      <c r="O18" s="53">
        <f t="shared" ref="O18:AA18" si="7">+$L$18/12</f>
        <v>0</v>
      </c>
      <c r="P18" s="53">
        <f t="shared" si="7"/>
        <v>0</v>
      </c>
      <c r="Q18" s="53">
        <f t="shared" si="7"/>
        <v>0</v>
      </c>
      <c r="R18" s="53">
        <f t="shared" si="7"/>
        <v>0</v>
      </c>
      <c r="S18" s="53"/>
      <c r="T18" s="53"/>
      <c r="U18" s="53"/>
      <c r="V18" s="53">
        <f t="shared" si="7"/>
        <v>0</v>
      </c>
      <c r="W18" s="53">
        <f t="shared" si="7"/>
        <v>0</v>
      </c>
      <c r="X18" s="53">
        <f t="shared" si="7"/>
        <v>0</v>
      </c>
      <c r="Y18" s="53">
        <f t="shared" si="7"/>
        <v>0</v>
      </c>
      <c r="Z18" s="53">
        <f t="shared" si="7"/>
        <v>0</v>
      </c>
      <c r="AA18" s="53">
        <f t="shared" si="7"/>
        <v>0</v>
      </c>
    </row>
    <row r="19" spans="1:27" x14ac:dyDescent="0.2">
      <c r="A19" s="1"/>
      <c r="B19" s="1"/>
      <c r="C19" s="1"/>
      <c r="D19" s="1" t="s">
        <v>81</v>
      </c>
      <c r="E19" s="53">
        <f>+'[1]Income Statement'!H23</f>
        <v>0</v>
      </c>
      <c r="F19" s="53"/>
      <c r="G19" s="53"/>
      <c r="H19" s="53"/>
      <c r="I19" s="53">
        <f t="shared" si="4"/>
        <v>0</v>
      </c>
      <c r="J19" s="84">
        <f>+'[1]Budget operating'!S20</f>
        <v>1500</v>
      </c>
      <c r="K19" s="24">
        <f t="shared" si="6"/>
        <v>1500</v>
      </c>
      <c r="L19" s="76">
        <v>1500</v>
      </c>
      <c r="M19" s="84">
        <f t="shared" si="5"/>
        <v>625</v>
      </c>
      <c r="N19" s="53">
        <f>+$L$19/12</f>
        <v>125</v>
      </c>
      <c r="O19" s="53">
        <f t="shared" ref="O19:AA19" si="8">+$L$19/12</f>
        <v>125</v>
      </c>
      <c r="P19" s="53">
        <f t="shared" si="8"/>
        <v>125</v>
      </c>
      <c r="Q19" s="53">
        <f t="shared" si="8"/>
        <v>125</v>
      </c>
      <c r="R19" s="53">
        <f t="shared" si="8"/>
        <v>125</v>
      </c>
      <c r="S19" s="53"/>
      <c r="T19" s="53"/>
      <c r="U19" s="53"/>
      <c r="V19" s="53">
        <f t="shared" si="8"/>
        <v>125</v>
      </c>
      <c r="W19" s="53">
        <f t="shared" si="8"/>
        <v>125</v>
      </c>
      <c r="X19" s="53">
        <f t="shared" si="8"/>
        <v>125</v>
      </c>
      <c r="Y19" s="53">
        <f t="shared" si="8"/>
        <v>125</v>
      </c>
      <c r="Z19" s="53">
        <f t="shared" si="8"/>
        <v>125</v>
      </c>
      <c r="AA19" s="53">
        <f t="shared" si="8"/>
        <v>125</v>
      </c>
    </row>
    <row r="20" spans="1:27" ht="21" customHeight="1" x14ac:dyDescent="0.2">
      <c r="A20" s="1"/>
      <c r="B20" s="1"/>
      <c r="C20" s="1"/>
      <c r="D20" s="1" t="s">
        <v>82</v>
      </c>
      <c r="E20" s="53">
        <f>+'[1]Income Statement'!H24</f>
        <v>19260.3</v>
      </c>
      <c r="F20" s="53">
        <v>2586.65</v>
      </c>
      <c r="G20" s="53">
        <v>1000</v>
      </c>
      <c r="H20" s="53">
        <v>1000</v>
      </c>
      <c r="I20" s="53">
        <f t="shared" si="4"/>
        <v>23846.95</v>
      </c>
      <c r="J20" s="84">
        <f>+'[1]Budget operating'!S21</f>
        <v>4500</v>
      </c>
      <c r="K20" s="24">
        <f t="shared" si="6"/>
        <v>-19346.95</v>
      </c>
      <c r="L20" s="76">
        <v>11873.12</v>
      </c>
      <c r="M20" s="84">
        <f t="shared" si="5"/>
        <v>4947.1333333333332</v>
      </c>
      <c r="N20" s="53">
        <f>+$L$20/12</f>
        <v>989.42666666666673</v>
      </c>
      <c r="O20" s="53">
        <f t="shared" ref="O20:AA20" si="9">+$L$20/12</f>
        <v>989.42666666666673</v>
      </c>
      <c r="P20" s="53">
        <f t="shared" si="9"/>
        <v>989.42666666666673</v>
      </c>
      <c r="Q20" s="53">
        <f t="shared" si="9"/>
        <v>989.42666666666673</v>
      </c>
      <c r="R20" s="53">
        <f t="shared" si="9"/>
        <v>989.42666666666673</v>
      </c>
      <c r="S20" s="53"/>
      <c r="U20" s="53">
        <v>989.43</v>
      </c>
      <c r="V20" s="53">
        <f t="shared" si="9"/>
        <v>989.42666666666673</v>
      </c>
      <c r="W20" s="53">
        <f t="shared" si="9"/>
        <v>989.42666666666673</v>
      </c>
      <c r="X20" s="53">
        <f t="shared" si="9"/>
        <v>989.42666666666673</v>
      </c>
      <c r="Y20" s="53">
        <f t="shared" si="9"/>
        <v>989.42666666666673</v>
      </c>
      <c r="Z20" s="53">
        <f t="shared" si="9"/>
        <v>989.42666666666673</v>
      </c>
      <c r="AA20" s="53">
        <f t="shared" si="9"/>
        <v>989.42666666666673</v>
      </c>
    </row>
    <row r="21" spans="1:27" x14ac:dyDescent="0.2">
      <c r="A21" s="1"/>
      <c r="B21" s="1"/>
      <c r="C21" s="1"/>
      <c r="D21" s="1" t="s">
        <v>83</v>
      </c>
      <c r="E21" s="53">
        <f>+'[1]Income Statement'!H25</f>
        <v>1356.58</v>
      </c>
      <c r="F21" s="53">
        <v>41.17</v>
      </c>
      <c r="G21" s="53">
        <v>50</v>
      </c>
      <c r="H21" s="53">
        <v>50</v>
      </c>
      <c r="I21" s="53">
        <f t="shared" si="4"/>
        <v>1497.75</v>
      </c>
      <c r="J21" s="84">
        <f>+'[1]Budget operating'!S22</f>
        <v>1750</v>
      </c>
      <c r="K21" s="24">
        <f t="shared" si="6"/>
        <v>252.25</v>
      </c>
      <c r="L21" s="76">
        <v>1750</v>
      </c>
      <c r="M21" s="84">
        <f t="shared" si="5"/>
        <v>729.16666666666674</v>
      </c>
      <c r="N21" s="53">
        <f>+$L$21/12</f>
        <v>145.83333333333334</v>
      </c>
      <c r="O21" s="53">
        <f t="shared" ref="O21:AA21" si="10">+$L$21/12</f>
        <v>145.83333333333334</v>
      </c>
      <c r="P21" s="53">
        <f t="shared" si="10"/>
        <v>145.83333333333334</v>
      </c>
      <c r="Q21" s="53">
        <f t="shared" si="10"/>
        <v>145.83333333333334</v>
      </c>
      <c r="R21" s="53">
        <f t="shared" si="10"/>
        <v>145.83333333333334</v>
      </c>
      <c r="S21" s="53"/>
      <c r="U21" s="53">
        <f t="shared" si="10"/>
        <v>145.83333333333334</v>
      </c>
      <c r="V21" s="53">
        <f t="shared" si="10"/>
        <v>145.83333333333334</v>
      </c>
      <c r="W21" s="53">
        <f t="shared" si="10"/>
        <v>145.83333333333334</v>
      </c>
      <c r="X21" s="53">
        <f t="shared" si="10"/>
        <v>145.83333333333334</v>
      </c>
      <c r="Y21" s="53">
        <f t="shared" si="10"/>
        <v>145.83333333333334</v>
      </c>
      <c r="Z21" s="53">
        <f t="shared" si="10"/>
        <v>145.83333333333334</v>
      </c>
      <c r="AA21" s="53">
        <f t="shared" si="10"/>
        <v>145.83333333333334</v>
      </c>
    </row>
    <row r="22" spans="1:27" x14ac:dyDescent="0.2">
      <c r="A22" s="1"/>
      <c r="B22" s="1"/>
      <c r="C22" s="1"/>
      <c r="D22" s="1" t="s">
        <v>84</v>
      </c>
      <c r="E22" s="53">
        <f>+'[1]Income Statement'!H26</f>
        <v>8005.29</v>
      </c>
      <c r="F22" s="53"/>
      <c r="G22" s="53"/>
      <c r="H22" s="53"/>
      <c r="I22" s="53">
        <f t="shared" si="4"/>
        <v>8005.29</v>
      </c>
      <c r="J22" s="84">
        <f>+'[1]Budget operating'!S23</f>
        <v>6700</v>
      </c>
      <c r="K22" s="24">
        <f t="shared" si="6"/>
        <v>-1305.29</v>
      </c>
      <c r="L22" s="76">
        <v>8000</v>
      </c>
      <c r="M22" s="84">
        <f t="shared" si="5"/>
        <v>3333.333333333333</v>
      </c>
      <c r="N22" s="53">
        <f>+$L$22/12</f>
        <v>666.66666666666663</v>
      </c>
      <c r="O22" s="53">
        <f t="shared" ref="O22:AA22" si="11">+$L$22/12</f>
        <v>666.66666666666663</v>
      </c>
      <c r="P22" s="53">
        <f t="shared" si="11"/>
        <v>666.66666666666663</v>
      </c>
      <c r="Q22" s="53">
        <f t="shared" si="11"/>
        <v>666.66666666666663</v>
      </c>
      <c r="R22" s="53">
        <f t="shared" si="11"/>
        <v>666.66666666666663</v>
      </c>
      <c r="S22" s="53"/>
      <c r="U22" s="53">
        <f t="shared" si="11"/>
        <v>666.66666666666663</v>
      </c>
      <c r="V22" s="53">
        <f t="shared" si="11"/>
        <v>666.66666666666663</v>
      </c>
      <c r="W22" s="53">
        <f t="shared" si="11"/>
        <v>666.66666666666663</v>
      </c>
      <c r="X22" s="53">
        <f t="shared" si="11"/>
        <v>666.66666666666663</v>
      </c>
      <c r="Y22" s="53">
        <f t="shared" si="11"/>
        <v>666.66666666666663</v>
      </c>
      <c r="Z22" s="53">
        <f t="shared" si="11"/>
        <v>666.66666666666663</v>
      </c>
      <c r="AA22" s="53">
        <f t="shared" si="11"/>
        <v>666.66666666666663</v>
      </c>
    </row>
    <row r="23" spans="1:27" x14ac:dyDescent="0.2">
      <c r="A23" s="1"/>
      <c r="B23" s="1"/>
      <c r="C23" s="1"/>
      <c r="D23" s="1" t="s">
        <v>187</v>
      </c>
      <c r="E23" s="53">
        <f>+'[1]Income Statement'!H27</f>
        <v>9709.2999999999993</v>
      </c>
      <c r="F23" s="53"/>
      <c r="G23" s="53"/>
      <c r="H23" s="53"/>
      <c r="I23" s="53">
        <f t="shared" si="4"/>
        <v>9709.2999999999993</v>
      </c>
      <c r="J23" s="84">
        <f>+'[1]Budget operating'!S26</f>
        <v>3600</v>
      </c>
      <c r="K23" s="24">
        <f t="shared" si="6"/>
        <v>-6109.2999999999993</v>
      </c>
      <c r="L23" s="76">
        <v>10000</v>
      </c>
      <c r="M23" s="84">
        <f t="shared" si="5"/>
        <v>4166.666666666667</v>
      </c>
      <c r="N23" s="53">
        <f>+$L$23/12</f>
        <v>833.33333333333337</v>
      </c>
      <c r="O23" s="53">
        <f t="shared" ref="O23:AA23" si="12">+$L$23/12</f>
        <v>833.33333333333337</v>
      </c>
      <c r="P23" s="53">
        <f t="shared" si="12"/>
        <v>833.33333333333337</v>
      </c>
      <c r="Q23" s="53">
        <f t="shared" si="12"/>
        <v>833.33333333333337</v>
      </c>
      <c r="R23" s="53">
        <f t="shared" si="12"/>
        <v>833.33333333333337</v>
      </c>
      <c r="S23" s="53"/>
      <c r="U23" s="53">
        <f t="shared" si="12"/>
        <v>833.33333333333337</v>
      </c>
      <c r="V23" s="53">
        <f t="shared" si="12"/>
        <v>833.33333333333337</v>
      </c>
      <c r="W23" s="53">
        <f t="shared" si="12"/>
        <v>833.33333333333337</v>
      </c>
      <c r="X23" s="53">
        <f t="shared" si="12"/>
        <v>833.33333333333337</v>
      </c>
      <c r="Y23" s="53">
        <f t="shared" si="12"/>
        <v>833.33333333333337</v>
      </c>
      <c r="Z23" s="53">
        <f t="shared" si="12"/>
        <v>833.33333333333337</v>
      </c>
      <c r="AA23" s="53">
        <f t="shared" si="12"/>
        <v>833.33333333333337</v>
      </c>
    </row>
    <row r="24" spans="1:27" x14ac:dyDescent="0.2">
      <c r="A24" s="1"/>
      <c r="B24" s="1"/>
      <c r="C24" s="1"/>
      <c r="D24" s="1" t="s">
        <v>87</v>
      </c>
      <c r="E24" s="53">
        <f>+'[1]Income Statement'!H28</f>
        <v>618.75</v>
      </c>
      <c r="F24" s="53">
        <v>540</v>
      </c>
      <c r="G24" s="53"/>
      <c r="H24" s="53"/>
      <c r="I24" s="53">
        <f t="shared" si="4"/>
        <v>1158.75</v>
      </c>
      <c r="J24" s="84">
        <f>+'[1]Budget operating'!S24</f>
        <v>600</v>
      </c>
      <c r="K24" s="24">
        <f t="shared" si="6"/>
        <v>-558.75</v>
      </c>
      <c r="L24" s="76">
        <v>600</v>
      </c>
      <c r="M24" s="84">
        <f t="shared" si="5"/>
        <v>600</v>
      </c>
      <c r="N24" s="53">
        <v>200</v>
      </c>
      <c r="O24" s="53">
        <v>200</v>
      </c>
      <c r="P24" s="53">
        <v>200</v>
      </c>
      <c r="Q24" s="53">
        <v>0</v>
      </c>
      <c r="R24" s="53"/>
      <c r="S24" s="53"/>
      <c r="U24" s="53"/>
      <c r="V24" s="53"/>
      <c r="W24" s="53"/>
      <c r="X24" s="53"/>
      <c r="Y24" s="53"/>
      <c r="Z24" s="53"/>
      <c r="AA24" s="53"/>
    </row>
    <row r="25" spans="1:27" x14ac:dyDescent="0.2">
      <c r="A25" s="1"/>
      <c r="B25" s="1"/>
      <c r="C25" s="1"/>
      <c r="D25" s="1" t="s">
        <v>386</v>
      </c>
      <c r="E25" s="53">
        <f>+'[1]Income Statement'!H29</f>
        <v>19590</v>
      </c>
      <c r="F25" s="53"/>
      <c r="G25" s="53"/>
      <c r="H25" s="53"/>
      <c r="I25" s="53">
        <f t="shared" si="4"/>
        <v>19590</v>
      </c>
      <c r="J25" s="84">
        <f>+'[1]Budget operating'!S25</f>
        <v>8000</v>
      </c>
      <c r="K25" s="24">
        <f t="shared" si="6"/>
        <v>-11590</v>
      </c>
      <c r="L25" s="76">
        <v>15000</v>
      </c>
      <c r="M25" s="84">
        <f t="shared" si="5"/>
        <v>6250</v>
      </c>
      <c r="N25" s="53">
        <f>+$L$25/12</f>
        <v>1250</v>
      </c>
      <c r="O25" s="53">
        <f>+$L$25/12</f>
        <v>1250</v>
      </c>
      <c r="P25" s="53">
        <f>+$L$25/12</f>
        <v>1250</v>
      </c>
      <c r="Q25" s="53">
        <f>+$L$25/12</f>
        <v>1250</v>
      </c>
      <c r="R25" s="53">
        <f>+$L$25/12</f>
        <v>1250</v>
      </c>
      <c r="S25" s="133">
        <v>11697.07</v>
      </c>
      <c r="U25" s="53">
        <f>15000-11697.07</f>
        <v>3302.9300000000003</v>
      </c>
      <c r="V25" s="53"/>
      <c r="W25" s="53"/>
      <c r="X25" s="53"/>
      <c r="Y25" s="53"/>
      <c r="Z25" s="53"/>
      <c r="AA25" s="53"/>
    </row>
    <row r="26" spans="1:27" x14ac:dyDescent="0.2">
      <c r="A26" s="1"/>
      <c r="B26" s="1"/>
      <c r="C26" s="1"/>
      <c r="D26" s="1" t="s">
        <v>90</v>
      </c>
      <c r="E26" s="140">
        <f>+'[1]Income Statement'!H30</f>
        <v>2355</v>
      </c>
      <c r="F26" s="140"/>
      <c r="G26" s="140"/>
      <c r="H26" s="140">
        <v>2400</v>
      </c>
      <c r="I26" s="140">
        <f t="shared" si="4"/>
        <v>4755</v>
      </c>
      <c r="J26" s="86">
        <f>+'[1]Budget operating'!S27</f>
        <v>6050</v>
      </c>
      <c r="K26" s="26">
        <f t="shared" si="6"/>
        <v>1295</v>
      </c>
      <c r="L26" s="78">
        <v>6050</v>
      </c>
      <c r="M26" s="86">
        <f t="shared" si="5"/>
        <v>3025</v>
      </c>
      <c r="N26" s="140"/>
      <c r="O26" s="140">
        <v>1500</v>
      </c>
      <c r="P26" s="140">
        <f>3025-1500</f>
        <v>1525</v>
      </c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>
        <v>3025</v>
      </c>
    </row>
    <row r="27" spans="1:27" x14ac:dyDescent="0.2">
      <c r="A27" s="1"/>
      <c r="B27" s="1"/>
      <c r="C27" s="1" t="s">
        <v>91</v>
      </c>
      <c r="D27" s="1"/>
      <c r="E27" s="53">
        <f t="shared" ref="E27:J27" si="13">SUM(E16:E26)</f>
        <v>63087.119999999995</v>
      </c>
      <c r="F27" s="53">
        <f t="shared" si="13"/>
        <v>3167.82</v>
      </c>
      <c r="G27" s="53">
        <f t="shared" si="13"/>
        <v>1050</v>
      </c>
      <c r="H27" s="53">
        <f t="shared" si="13"/>
        <v>5250</v>
      </c>
      <c r="I27" s="53">
        <f t="shared" si="13"/>
        <v>72554.94</v>
      </c>
      <c r="J27" s="84">
        <f t="shared" si="13"/>
        <v>44750</v>
      </c>
      <c r="K27" s="24">
        <f t="shared" si="6"/>
        <v>-27804.940000000002</v>
      </c>
      <c r="L27" s="76">
        <f>SUM(L16:L26)</f>
        <v>57273.120000000003</v>
      </c>
      <c r="M27" s="84">
        <f>SUM(M16:M26)</f>
        <v>26176.3</v>
      </c>
      <c r="N27" s="53">
        <f>SUM(N17:N26)</f>
        <v>4710.26</v>
      </c>
      <c r="O27" s="53">
        <f t="shared" ref="O27:AA27" si="14">SUM(O17:O26)</f>
        <v>6210.26</v>
      </c>
      <c r="P27" s="53">
        <f t="shared" si="14"/>
        <v>6235.26</v>
      </c>
      <c r="Q27" s="53">
        <f t="shared" si="14"/>
        <v>4510.26</v>
      </c>
      <c r="R27" s="53">
        <f t="shared" si="14"/>
        <v>4510.26</v>
      </c>
      <c r="S27" s="53"/>
      <c r="T27" s="53">
        <f t="shared" si="14"/>
        <v>0</v>
      </c>
      <c r="U27" s="53">
        <f>SUM(U15:U26)</f>
        <v>5938.1933333333336</v>
      </c>
      <c r="V27" s="53">
        <f t="shared" si="14"/>
        <v>2760.26</v>
      </c>
      <c r="W27" s="53">
        <f t="shared" si="14"/>
        <v>2760.26</v>
      </c>
      <c r="X27" s="53">
        <f t="shared" si="14"/>
        <v>2760.26</v>
      </c>
      <c r="Y27" s="53">
        <f t="shared" si="14"/>
        <v>2760.26</v>
      </c>
      <c r="Z27" s="53">
        <f t="shared" si="14"/>
        <v>2760.26</v>
      </c>
      <c r="AA27" s="53">
        <f t="shared" si="14"/>
        <v>5785.26</v>
      </c>
    </row>
    <row r="28" spans="1:27" ht="30" customHeight="1" x14ac:dyDescent="0.2">
      <c r="A28" s="1"/>
      <c r="B28" s="1"/>
      <c r="C28" s="1" t="s">
        <v>92</v>
      </c>
      <c r="D28" s="1"/>
      <c r="E28" s="53"/>
      <c r="F28" s="53"/>
      <c r="G28" s="53"/>
      <c r="H28" s="53"/>
      <c r="I28" s="53">
        <f t="shared" ref="I28:I41" si="15">+E28+F28+G28+H28</f>
        <v>0</v>
      </c>
      <c r="J28" s="84"/>
      <c r="K28" s="24">
        <f>+I28-J28</f>
        <v>0</v>
      </c>
      <c r="L28" s="76"/>
      <c r="M28" s="84"/>
    </row>
    <row r="29" spans="1:27" x14ac:dyDescent="0.2">
      <c r="A29" s="1"/>
      <c r="B29" s="1"/>
      <c r="C29" s="1"/>
      <c r="D29" s="1" t="s">
        <v>93</v>
      </c>
      <c r="E29" s="53">
        <f>+'[1]Income Statement'!H33</f>
        <v>2487.59</v>
      </c>
      <c r="F29" s="53"/>
      <c r="G29" s="53"/>
      <c r="H29" s="53">
        <v>200</v>
      </c>
      <c r="I29" s="53">
        <f t="shared" si="15"/>
        <v>2687.59</v>
      </c>
      <c r="J29" s="84">
        <f>+'[1]Budget operating'!S30</f>
        <v>4100</v>
      </c>
      <c r="K29" s="24">
        <f t="shared" ref="K29:K42" si="16">+J29-I29</f>
        <v>1412.4099999999999</v>
      </c>
      <c r="L29" s="76">
        <v>9100</v>
      </c>
      <c r="M29" s="84">
        <f t="shared" ref="M29:M41" si="17">+N29+O29+P29+Q29+R29</f>
        <v>7280</v>
      </c>
      <c r="N29" s="53">
        <f>+L29/5</f>
        <v>1820</v>
      </c>
      <c r="O29" s="53">
        <v>1820</v>
      </c>
      <c r="P29" s="53">
        <v>1820</v>
      </c>
      <c r="Q29" s="53">
        <v>1820</v>
      </c>
      <c r="R29" s="53"/>
      <c r="S29" s="53"/>
      <c r="T29" s="53"/>
      <c r="U29" s="53"/>
      <c r="V29" s="53"/>
      <c r="W29" s="53"/>
      <c r="X29" s="53"/>
      <c r="Y29" s="53"/>
      <c r="Z29" s="53"/>
      <c r="AA29" s="53">
        <v>1820</v>
      </c>
    </row>
    <row r="30" spans="1:27" x14ac:dyDescent="0.2">
      <c r="A30" s="1"/>
      <c r="B30" s="1"/>
      <c r="C30" s="1"/>
      <c r="D30" s="1" t="s">
        <v>94</v>
      </c>
      <c r="E30" s="53">
        <f>+'[1]Income Statement'!H34</f>
        <v>31135.57</v>
      </c>
      <c r="F30" s="53"/>
      <c r="G30" s="53"/>
      <c r="H30" s="53"/>
      <c r="I30" s="53">
        <f t="shared" si="15"/>
        <v>31135.57</v>
      </c>
      <c r="J30" s="84">
        <f>+'[1]Budget operating'!S31</f>
        <v>33000</v>
      </c>
      <c r="K30" s="24">
        <f t="shared" si="16"/>
        <v>1864.4300000000003</v>
      </c>
      <c r="L30" s="76">
        <v>25000</v>
      </c>
      <c r="M30" s="84">
        <f t="shared" si="17"/>
        <v>25000</v>
      </c>
      <c r="N30" s="53">
        <v>15000</v>
      </c>
      <c r="O30" s="53">
        <v>10000</v>
      </c>
      <c r="P30" s="53">
        <v>0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v>0</v>
      </c>
    </row>
    <row r="31" spans="1:27" x14ac:dyDescent="0.2">
      <c r="A31" s="1"/>
      <c r="B31" s="1"/>
      <c r="C31" s="1"/>
      <c r="D31" s="1" t="s">
        <v>96</v>
      </c>
      <c r="E31" s="53">
        <f>+'[1]Income Statement'!H35</f>
        <v>4054.26</v>
      </c>
      <c r="F31" s="53"/>
      <c r="G31" s="53"/>
      <c r="H31" s="53">
        <v>4200</v>
      </c>
      <c r="I31" s="53">
        <f t="shared" si="15"/>
        <v>8254.26</v>
      </c>
      <c r="J31" s="84">
        <f>+'[1]Budget operating'!S32</f>
        <v>9000</v>
      </c>
      <c r="K31" s="24">
        <f t="shared" si="16"/>
        <v>745.73999999999978</v>
      </c>
      <c r="L31" s="76">
        <v>9000</v>
      </c>
      <c r="M31" s="84">
        <f t="shared" si="17"/>
        <v>8000</v>
      </c>
      <c r="N31" s="53">
        <v>4000</v>
      </c>
      <c r="O31" s="53">
        <v>2000</v>
      </c>
      <c r="P31" s="53">
        <v>2000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v>1000</v>
      </c>
    </row>
    <row r="32" spans="1:27" x14ac:dyDescent="0.2">
      <c r="A32" s="1"/>
      <c r="B32" s="1"/>
      <c r="C32" s="1"/>
      <c r="D32" s="1" t="s">
        <v>97</v>
      </c>
      <c r="E32" s="53">
        <f>+'[1]Income Statement'!H36</f>
        <v>13137.47</v>
      </c>
      <c r="F32" s="53"/>
      <c r="G32" s="53"/>
      <c r="H32" s="53"/>
      <c r="I32" s="53">
        <f t="shared" si="15"/>
        <v>13137.47</v>
      </c>
      <c r="J32" s="84">
        <f>+'[1]Budget operating'!S33</f>
        <v>4150</v>
      </c>
      <c r="K32" s="24">
        <f t="shared" si="16"/>
        <v>-8987.4699999999993</v>
      </c>
      <c r="L32" s="76">
        <v>4150</v>
      </c>
      <c r="M32" s="84">
        <f t="shared" si="17"/>
        <v>3150</v>
      </c>
      <c r="N32" s="53">
        <v>1150</v>
      </c>
      <c r="O32" s="53">
        <v>1000</v>
      </c>
      <c r="P32" s="53">
        <v>1000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v>1000</v>
      </c>
    </row>
    <row r="33" spans="1:27" x14ac:dyDescent="0.2">
      <c r="A33" s="1"/>
      <c r="B33" s="1"/>
      <c r="C33" s="1"/>
      <c r="D33" s="1" t="s">
        <v>98</v>
      </c>
      <c r="E33" s="53">
        <f>+'[1]Income Statement'!H37</f>
        <v>15417</v>
      </c>
      <c r="F33" s="53"/>
      <c r="G33" s="53"/>
      <c r="H33" s="53">
        <v>3383</v>
      </c>
      <c r="I33" s="53">
        <f t="shared" si="15"/>
        <v>18800</v>
      </c>
      <c r="J33" s="84">
        <f>+'[1]Budget operating'!S34</f>
        <v>18800</v>
      </c>
      <c r="K33" s="24">
        <f t="shared" si="16"/>
        <v>0</v>
      </c>
      <c r="L33" s="76">
        <v>18800</v>
      </c>
      <c r="M33" s="84">
        <f t="shared" si="17"/>
        <v>15040</v>
      </c>
      <c r="N33" s="53">
        <f t="shared" ref="N33:N40" si="18">+L33/5</f>
        <v>3760</v>
      </c>
      <c r="O33" s="53">
        <f t="shared" ref="O33:Q41" si="19">+N33</f>
        <v>3760</v>
      </c>
      <c r="P33" s="53">
        <f t="shared" si="19"/>
        <v>3760</v>
      </c>
      <c r="Q33" s="53">
        <f t="shared" si="19"/>
        <v>3760</v>
      </c>
      <c r="R33" s="53"/>
      <c r="S33" s="53"/>
      <c r="T33" s="53"/>
      <c r="U33" s="53"/>
      <c r="V33" s="53"/>
      <c r="W33" s="53"/>
      <c r="X33" s="53"/>
      <c r="Y33" s="53"/>
      <c r="Z33" s="53"/>
      <c r="AA33" s="53">
        <v>3760</v>
      </c>
    </row>
    <row r="34" spans="1:27" x14ac:dyDescent="0.2">
      <c r="A34" s="1"/>
      <c r="B34" s="1"/>
      <c r="C34" s="1"/>
      <c r="D34" s="1" t="s">
        <v>99</v>
      </c>
      <c r="E34" s="53">
        <f>+'[1]Income Statement'!H38</f>
        <v>14024.4</v>
      </c>
      <c r="F34" s="53"/>
      <c r="G34" s="53"/>
      <c r="H34" s="53">
        <v>1500</v>
      </c>
      <c r="I34" s="53">
        <f t="shared" si="15"/>
        <v>15524.4</v>
      </c>
      <c r="J34" s="84">
        <f>+'[1]Budget operating'!S35</f>
        <v>18350</v>
      </c>
      <c r="K34" s="24">
        <f t="shared" si="16"/>
        <v>2825.6000000000004</v>
      </c>
      <c r="L34" s="76">
        <v>20000</v>
      </c>
      <c r="M34" s="84">
        <f t="shared" si="17"/>
        <v>20000</v>
      </c>
      <c r="N34" s="53">
        <v>10000</v>
      </c>
      <c r="O34" s="53">
        <v>5000</v>
      </c>
      <c r="P34" s="53">
        <v>5000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v>0</v>
      </c>
    </row>
    <row r="35" spans="1:27" x14ac:dyDescent="0.2">
      <c r="A35" s="1"/>
      <c r="B35" s="1"/>
      <c r="C35" s="1"/>
      <c r="D35" s="1" t="s">
        <v>100</v>
      </c>
      <c r="E35" s="53">
        <f>+'[1]Income Statement'!H39</f>
        <v>5442.22</v>
      </c>
      <c r="F35" s="53"/>
      <c r="G35" s="53"/>
      <c r="H35" s="53"/>
      <c r="I35" s="53">
        <f t="shared" si="15"/>
        <v>5442.22</v>
      </c>
      <c r="J35" s="84">
        <f>+'[1]Budget operating'!S36</f>
        <v>2750</v>
      </c>
      <c r="K35" s="24">
        <f t="shared" si="16"/>
        <v>-2692.2200000000003</v>
      </c>
      <c r="L35" s="76">
        <v>5000</v>
      </c>
      <c r="M35" s="84">
        <f t="shared" si="17"/>
        <v>4000</v>
      </c>
      <c r="N35" s="53">
        <f t="shared" si="18"/>
        <v>1000</v>
      </c>
      <c r="O35" s="53">
        <f t="shared" si="19"/>
        <v>1000</v>
      </c>
      <c r="P35" s="53">
        <f t="shared" si="19"/>
        <v>1000</v>
      </c>
      <c r="Q35" s="53">
        <f t="shared" si="19"/>
        <v>1000</v>
      </c>
      <c r="R35" s="53"/>
      <c r="S35" s="53"/>
      <c r="T35" s="53"/>
      <c r="U35" s="53"/>
      <c r="V35" s="53"/>
      <c r="W35" s="53"/>
      <c r="X35" s="53"/>
      <c r="Y35" s="53"/>
      <c r="Z35" s="53"/>
      <c r="AA35" s="53">
        <v>1000</v>
      </c>
    </row>
    <row r="36" spans="1:27" x14ac:dyDescent="0.2">
      <c r="A36" s="1"/>
      <c r="B36" s="1"/>
      <c r="C36" s="1"/>
      <c r="D36" s="1" t="s">
        <v>101</v>
      </c>
      <c r="E36" s="53">
        <f>+'[1]Income Statement'!H40</f>
        <v>6099.22</v>
      </c>
      <c r="F36" s="53">
        <v>1689.38</v>
      </c>
      <c r="G36" s="53">
        <v>900</v>
      </c>
      <c r="H36" s="53">
        <v>900</v>
      </c>
      <c r="I36" s="53">
        <f t="shared" si="15"/>
        <v>9588.6</v>
      </c>
      <c r="J36" s="84">
        <f>+'[1]Budget operating'!S37</f>
        <v>11100</v>
      </c>
      <c r="K36" s="24">
        <f t="shared" si="16"/>
        <v>1511.3999999999996</v>
      </c>
      <c r="L36" s="76">
        <v>10000</v>
      </c>
      <c r="M36" s="84">
        <f t="shared" si="17"/>
        <v>4166.666666666667</v>
      </c>
      <c r="N36" s="53">
        <f>+$L$36/12</f>
        <v>833.33333333333337</v>
      </c>
      <c r="O36" s="53">
        <f t="shared" ref="O36:AA36" si="20">+$L$36/12</f>
        <v>833.33333333333337</v>
      </c>
      <c r="P36" s="53">
        <f t="shared" si="20"/>
        <v>833.33333333333337</v>
      </c>
      <c r="Q36" s="53">
        <f t="shared" si="20"/>
        <v>833.33333333333337</v>
      </c>
      <c r="R36" s="53">
        <f t="shared" si="20"/>
        <v>833.33333333333337</v>
      </c>
      <c r="S36" s="53"/>
      <c r="T36" s="53">
        <v>140</v>
      </c>
      <c r="U36" s="53">
        <v>500</v>
      </c>
      <c r="V36" s="53">
        <f t="shared" si="20"/>
        <v>833.33333333333337</v>
      </c>
      <c r="W36" s="53">
        <f t="shared" si="20"/>
        <v>833.33333333333337</v>
      </c>
      <c r="X36" s="53">
        <f t="shared" si="20"/>
        <v>833.33333333333337</v>
      </c>
      <c r="Y36" s="53">
        <f t="shared" si="20"/>
        <v>833.33333333333337</v>
      </c>
      <c r="Z36" s="53">
        <f t="shared" si="20"/>
        <v>833.33333333333337</v>
      </c>
      <c r="AA36" s="53">
        <f t="shared" si="20"/>
        <v>833.33333333333337</v>
      </c>
    </row>
    <row r="37" spans="1:27" x14ac:dyDescent="0.2">
      <c r="A37" s="1"/>
      <c r="B37" s="1"/>
      <c r="C37" s="1"/>
      <c r="D37" s="1" t="s">
        <v>102</v>
      </c>
      <c r="E37" s="53">
        <f>+'[1]Income Statement'!H41</f>
        <v>8739.5499999999993</v>
      </c>
      <c r="F37" s="53"/>
      <c r="G37" s="53"/>
      <c r="H37" s="53">
        <v>8760.4500000000007</v>
      </c>
      <c r="I37" s="53">
        <f t="shared" si="15"/>
        <v>17500</v>
      </c>
      <c r="J37" s="85">
        <v>17500</v>
      </c>
      <c r="K37" s="24">
        <f t="shared" si="16"/>
        <v>0</v>
      </c>
      <c r="L37" s="77">
        <v>5000</v>
      </c>
      <c r="M37" s="84">
        <f t="shared" si="17"/>
        <v>5000</v>
      </c>
      <c r="N37" s="53">
        <v>3000</v>
      </c>
      <c r="O37" s="53">
        <v>1000</v>
      </c>
      <c r="P37" s="53">
        <f t="shared" si="19"/>
        <v>1000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x14ac:dyDescent="0.2">
      <c r="A38" s="1"/>
      <c r="B38" s="1"/>
      <c r="C38" s="1"/>
      <c r="D38" s="1" t="s">
        <v>191</v>
      </c>
      <c r="E38" s="53">
        <f>+'[1]Income Statement'!H42</f>
        <v>0</v>
      </c>
      <c r="F38" s="53"/>
      <c r="G38" s="53"/>
      <c r="H38" s="53"/>
      <c r="I38" s="53">
        <f t="shared" si="15"/>
        <v>0</v>
      </c>
      <c r="J38" s="84">
        <f>+'[1]Budget operating'!S39</f>
        <v>0</v>
      </c>
      <c r="K38" s="24">
        <f t="shared" si="16"/>
        <v>0</v>
      </c>
      <c r="L38" s="76"/>
      <c r="M38" s="84">
        <f t="shared" si="17"/>
        <v>0</v>
      </c>
      <c r="N38" s="53">
        <f t="shared" si="18"/>
        <v>0</v>
      </c>
      <c r="O38" s="53">
        <f t="shared" si="19"/>
        <v>0</v>
      </c>
      <c r="P38" s="53">
        <f t="shared" si="19"/>
        <v>0</v>
      </c>
      <c r="Q38" s="53">
        <f t="shared" si="19"/>
        <v>0</v>
      </c>
      <c r="R38" s="53"/>
      <c r="S38" s="53"/>
      <c r="T38" s="53"/>
      <c r="U38" s="53"/>
      <c r="V38" s="53"/>
      <c r="W38" s="53"/>
      <c r="X38" s="53"/>
      <c r="Y38" s="53"/>
      <c r="Z38" s="53"/>
      <c r="AA38" s="53">
        <v>0</v>
      </c>
    </row>
    <row r="39" spans="1:27" x14ac:dyDescent="0.2">
      <c r="A39" s="1"/>
      <c r="B39" s="1"/>
      <c r="C39" s="1"/>
      <c r="D39" s="6" t="s">
        <v>104</v>
      </c>
      <c r="E39" s="53">
        <f>+'[1]Income Statement'!H43</f>
        <v>0</v>
      </c>
      <c r="F39" s="53"/>
      <c r="G39" s="53"/>
      <c r="H39" s="53"/>
      <c r="I39" s="53">
        <f t="shared" si="15"/>
        <v>0</v>
      </c>
      <c r="J39" s="84">
        <f>+'[1]Budget operating'!S40</f>
        <v>1200</v>
      </c>
      <c r="K39" s="24">
        <f t="shared" si="16"/>
        <v>1200</v>
      </c>
      <c r="L39" s="76">
        <v>0</v>
      </c>
      <c r="M39" s="84">
        <f t="shared" si="17"/>
        <v>0</v>
      </c>
      <c r="N39" s="53">
        <f t="shared" si="18"/>
        <v>0</v>
      </c>
      <c r="O39" s="53">
        <f t="shared" si="19"/>
        <v>0</v>
      </c>
      <c r="P39" s="53">
        <f t="shared" si="19"/>
        <v>0</v>
      </c>
      <c r="Q39" s="53">
        <f t="shared" si="19"/>
        <v>0</v>
      </c>
      <c r="R39" s="53"/>
      <c r="S39" s="53"/>
      <c r="T39" s="53"/>
      <c r="U39" s="53"/>
      <c r="V39" s="53"/>
      <c r="W39" s="53"/>
      <c r="X39" s="53"/>
      <c r="Y39" s="53"/>
      <c r="Z39" s="53"/>
      <c r="AA39" s="53">
        <v>0</v>
      </c>
    </row>
    <row r="40" spans="1:27" x14ac:dyDescent="0.2">
      <c r="A40" s="1"/>
      <c r="B40" s="1"/>
      <c r="C40" s="1"/>
      <c r="D40" s="6" t="s">
        <v>103</v>
      </c>
      <c r="E40" s="53">
        <f>+'[1]Income Statement'!H44</f>
        <v>8938.3799999999992</v>
      </c>
      <c r="F40" s="53">
        <v>0</v>
      </c>
      <c r="G40" s="53">
        <v>0</v>
      </c>
      <c r="H40" s="53">
        <v>180</v>
      </c>
      <c r="I40" s="53">
        <f t="shared" si="15"/>
        <v>9118.3799999999992</v>
      </c>
      <c r="J40" s="84">
        <f>+'[1]Budget operating'!S41</f>
        <v>12950</v>
      </c>
      <c r="K40" s="24">
        <f t="shared" si="16"/>
        <v>3831.6200000000008</v>
      </c>
      <c r="L40" s="76">
        <v>10600</v>
      </c>
      <c r="M40" s="84">
        <f t="shared" si="17"/>
        <v>8480</v>
      </c>
      <c r="N40" s="53">
        <f t="shared" si="18"/>
        <v>2120</v>
      </c>
      <c r="O40" s="53">
        <f t="shared" si="19"/>
        <v>2120</v>
      </c>
      <c r="P40" s="53">
        <f t="shared" si="19"/>
        <v>2120</v>
      </c>
      <c r="Q40" s="53">
        <f t="shared" si="19"/>
        <v>2120</v>
      </c>
      <c r="R40" s="53"/>
      <c r="S40" s="53"/>
      <c r="T40" s="53"/>
      <c r="U40" s="53"/>
      <c r="V40" s="53"/>
      <c r="W40" s="53"/>
      <c r="X40" s="53"/>
      <c r="Y40" s="53"/>
      <c r="Z40" s="53"/>
      <c r="AA40" s="53">
        <v>2120</v>
      </c>
    </row>
    <row r="41" spans="1:27" x14ac:dyDescent="0.2">
      <c r="A41" s="1"/>
      <c r="B41" s="1"/>
      <c r="C41" s="1"/>
      <c r="D41" s="1" t="s">
        <v>105</v>
      </c>
      <c r="E41" s="140">
        <f>+'[1]Income Statement'!H45</f>
        <v>5746</v>
      </c>
      <c r="F41" s="140">
        <v>930</v>
      </c>
      <c r="G41" s="140"/>
      <c r="H41" s="140"/>
      <c r="I41" s="140">
        <f t="shared" si="15"/>
        <v>6676</v>
      </c>
      <c r="J41" s="86">
        <f>+'[1]Budget operating'!S42</f>
        <v>8500</v>
      </c>
      <c r="K41" s="26">
        <f t="shared" si="16"/>
        <v>1824</v>
      </c>
      <c r="L41" s="78">
        <v>8500</v>
      </c>
      <c r="M41" s="86">
        <f t="shared" si="17"/>
        <v>8500</v>
      </c>
      <c r="N41" s="140">
        <v>8500</v>
      </c>
      <c r="O41" s="140">
        <v>0</v>
      </c>
      <c r="P41" s="140">
        <v>0</v>
      </c>
      <c r="Q41" s="140">
        <f t="shared" si="19"/>
        <v>0</v>
      </c>
      <c r="R41" s="140"/>
      <c r="S41" s="140"/>
      <c r="T41" s="140"/>
      <c r="U41" s="140"/>
      <c r="V41" s="140"/>
      <c r="W41" s="140"/>
      <c r="X41" s="140"/>
      <c r="Y41" s="140"/>
      <c r="Z41" s="140"/>
      <c r="AA41" s="140">
        <v>0</v>
      </c>
    </row>
    <row r="42" spans="1:27" x14ac:dyDescent="0.2">
      <c r="A42" s="1"/>
      <c r="B42" s="1"/>
      <c r="C42" s="1" t="s">
        <v>106</v>
      </c>
      <c r="D42" s="1"/>
      <c r="E42" s="18">
        <f>SUM(E28:E41)</f>
        <v>115221.66000000002</v>
      </c>
      <c r="F42" s="18">
        <f>SUM(F28:F41)</f>
        <v>2619.38</v>
      </c>
      <c r="G42" s="18">
        <f>SUM(G28:G41)</f>
        <v>900</v>
      </c>
      <c r="H42" s="18">
        <f>SUM(H28:H41)</f>
        <v>19123.45</v>
      </c>
      <c r="I42" s="18">
        <f>SUM(I28:I41)</f>
        <v>137864.49000000002</v>
      </c>
      <c r="J42" s="85">
        <f>SUM(J29:J41)</f>
        <v>141400</v>
      </c>
      <c r="K42" s="24">
        <f t="shared" si="16"/>
        <v>3535.5099999999802</v>
      </c>
      <c r="L42" s="77">
        <f>SUM(L29:L41)</f>
        <v>125150</v>
      </c>
      <c r="M42" s="85">
        <f>SUM(M29:M41)</f>
        <v>108616.66666666667</v>
      </c>
      <c r="N42" s="53">
        <f>SUM(N29:N41)</f>
        <v>51183.333333333336</v>
      </c>
      <c r="O42" s="53">
        <f>SUM(O29:O41)</f>
        <v>28533.333333333332</v>
      </c>
      <c r="P42" s="8">
        <f t="shared" ref="P42:AA42" si="21">SUM(P29:P41)</f>
        <v>18533.333333333336</v>
      </c>
      <c r="Q42" s="8">
        <f t="shared" si="21"/>
        <v>9533.3333333333321</v>
      </c>
      <c r="R42" s="8">
        <f t="shared" si="21"/>
        <v>833.33333333333337</v>
      </c>
      <c r="S42" s="8"/>
      <c r="T42" s="8">
        <f t="shared" si="21"/>
        <v>140</v>
      </c>
      <c r="U42" s="8">
        <f>SUM(U36:U41)</f>
        <v>500</v>
      </c>
      <c r="V42" s="8">
        <f t="shared" si="21"/>
        <v>833.33333333333337</v>
      </c>
      <c r="W42" s="8">
        <f t="shared" si="21"/>
        <v>833.33333333333337</v>
      </c>
      <c r="X42" s="8">
        <f t="shared" si="21"/>
        <v>833.33333333333337</v>
      </c>
      <c r="Y42" s="8">
        <f t="shared" si="21"/>
        <v>833.33333333333337</v>
      </c>
      <c r="Z42" s="8">
        <f t="shared" si="21"/>
        <v>833.33333333333337</v>
      </c>
      <c r="AA42" s="8">
        <f t="shared" si="21"/>
        <v>11533.333333333334</v>
      </c>
    </row>
    <row r="43" spans="1:27" ht="30" customHeight="1" x14ac:dyDescent="0.2">
      <c r="A43" s="1"/>
      <c r="B43" s="1"/>
      <c r="C43" s="1" t="s">
        <v>107</v>
      </c>
      <c r="D43" s="1"/>
      <c r="E43" s="18"/>
      <c r="F43" s="18"/>
      <c r="G43" s="18"/>
      <c r="H43" s="18"/>
      <c r="I43" s="53">
        <f t="shared" ref="I43:I48" si="22">+E43+F43+G43+H43</f>
        <v>0</v>
      </c>
      <c r="J43" s="85"/>
      <c r="K43" s="24">
        <f>+I43-J43</f>
        <v>0</v>
      </c>
      <c r="L43" s="77"/>
      <c r="M43" s="85"/>
    </row>
    <row r="44" spans="1:27" x14ac:dyDescent="0.2">
      <c r="A44" s="1"/>
      <c r="B44" s="1"/>
      <c r="C44" s="1"/>
      <c r="D44" s="1" t="s">
        <v>108</v>
      </c>
      <c r="E44" s="53">
        <f>+'[1]Income Statement'!H48</f>
        <v>0</v>
      </c>
      <c r="F44" s="53">
        <v>250</v>
      </c>
      <c r="G44" s="53"/>
      <c r="H44" s="53"/>
      <c r="I44" s="53">
        <f t="shared" si="22"/>
        <v>250</v>
      </c>
      <c r="J44" s="84">
        <f>+'[1]Budget operating'!S45</f>
        <v>1200</v>
      </c>
      <c r="K44" s="24">
        <f t="shared" ref="K44:K49" si="23">+J44-I44</f>
        <v>950</v>
      </c>
      <c r="L44" s="76">
        <v>1200</v>
      </c>
      <c r="M44" s="84">
        <f>+N44+O44+P44+Q44+R44</f>
        <v>0</v>
      </c>
      <c r="O44" s="53"/>
      <c r="P44" s="53"/>
      <c r="Q44" s="53"/>
      <c r="R44" s="53"/>
      <c r="S44" s="53"/>
      <c r="U44" s="53">
        <f>+L44/10</f>
        <v>120</v>
      </c>
      <c r="V44" s="53">
        <f>+L44/5</f>
        <v>240</v>
      </c>
      <c r="W44" s="53">
        <f>+L44/5</f>
        <v>240</v>
      </c>
      <c r="X44" s="53">
        <f>+L44/5</f>
        <v>240</v>
      </c>
      <c r="Y44" s="53">
        <f>+L44/5</f>
        <v>240</v>
      </c>
      <c r="Z44" s="53">
        <f>+L44/10</f>
        <v>120</v>
      </c>
      <c r="AA44" s="53"/>
    </row>
    <row r="45" spans="1:27" x14ac:dyDescent="0.2">
      <c r="A45" s="1"/>
      <c r="B45" s="1"/>
      <c r="C45" s="1"/>
      <c r="D45" s="1" t="s">
        <v>109</v>
      </c>
      <c r="E45" s="53">
        <f>+'[1]Income Statement'!H49</f>
        <v>65.52</v>
      </c>
      <c r="F45" s="53">
        <v>0</v>
      </c>
      <c r="G45" s="53"/>
      <c r="H45" s="53"/>
      <c r="I45" s="53">
        <f t="shared" si="22"/>
        <v>65.52</v>
      </c>
      <c r="J45" s="84">
        <f>+'[1]Budget operating'!S46</f>
        <v>850</v>
      </c>
      <c r="K45" s="24">
        <f t="shared" si="23"/>
        <v>784.48</v>
      </c>
      <c r="L45" s="76">
        <v>850</v>
      </c>
      <c r="M45" s="84">
        <f>+N45+O45+P45+Q45+R45</f>
        <v>0</v>
      </c>
      <c r="O45" s="53"/>
      <c r="P45" s="53"/>
      <c r="Q45" s="53"/>
      <c r="R45" s="53"/>
      <c r="S45" s="53"/>
      <c r="U45" s="53">
        <f>+L45/10</f>
        <v>85</v>
      </c>
      <c r="V45" s="53">
        <f>+L45/5</f>
        <v>170</v>
      </c>
      <c r="W45" s="53">
        <f>+L45/5</f>
        <v>170</v>
      </c>
      <c r="X45" s="53">
        <f>+L45/5</f>
        <v>170</v>
      </c>
      <c r="Y45" s="53">
        <f>+L45/5</f>
        <v>170</v>
      </c>
      <c r="Z45" s="53">
        <f>+L45/10</f>
        <v>85</v>
      </c>
      <c r="AA45" s="53"/>
    </row>
    <row r="46" spans="1:27" x14ac:dyDescent="0.2">
      <c r="A46" s="1"/>
      <c r="B46" s="1"/>
      <c r="C46" s="1"/>
      <c r="D46" s="1" t="s">
        <v>111</v>
      </c>
      <c r="E46" s="53">
        <f>+'[1]Income Statement'!H50</f>
        <v>11696</v>
      </c>
      <c r="F46" s="53">
        <v>7997</v>
      </c>
      <c r="G46" s="53"/>
      <c r="H46" s="53"/>
      <c r="I46" s="53">
        <f t="shared" si="22"/>
        <v>19693</v>
      </c>
      <c r="J46" s="84">
        <f>+'[1]Budget operating'!S47</f>
        <v>13000</v>
      </c>
      <c r="K46" s="24">
        <f t="shared" si="23"/>
        <v>-6693</v>
      </c>
      <c r="L46" s="76">
        <v>13000</v>
      </c>
      <c r="M46" s="84">
        <f>+N46+O46+P46+Q46+R46</f>
        <v>0</v>
      </c>
      <c r="O46" s="53"/>
      <c r="P46" s="53"/>
      <c r="Q46" s="53"/>
      <c r="R46" s="53"/>
      <c r="S46" s="53"/>
      <c r="U46" s="53">
        <f>+L46/10</f>
        <v>1300</v>
      </c>
      <c r="V46" s="53">
        <f>+L46/5</f>
        <v>2600</v>
      </c>
      <c r="W46" s="53">
        <f>+L46/5</f>
        <v>2600</v>
      </c>
      <c r="X46" s="53">
        <f>+L46/5</f>
        <v>2600</v>
      </c>
      <c r="Y46" s="53">
        <f>+L46/5</f>
        <v>2600</v>
      </c>
      <c r="Z46" s="53">
        <f>+L46/10</f>
        <v>1300</v>
      </c>
      <c r="AA46" s="53"/>
    </row>
    <row r="47" spans="1:27" x14ac:dyDescent="0.2">
      <c r="A47" s="1"/>
      <c r="B47" s="1"/>
      <c r="C47" s="1"/>
      <c r="D47" s="1" t="s">
        <v>112</v>
      </c>
      <c r="E47" s="53">
        <f>+'[1]Income Statement'!H51</f>
        <v>14400</v>
      </c>
      <c r="F47" s="53">
        <v>3600</v>
      </c>
      <c r="G47" s="53"/>
      <c r="H47" s="53"/>
      <c r="I47" s="53">
        <f t="shared" si="22"/>
        <v>18000</v>
      </c>
      <c r="J47" s="84">
        <f>+'[1]Budget operating'!S48</f>
        <v>18000</v>
      </c>
      <c r="K47" s="24">
        <f t="shared" si="23"/>
        <v>0</v>
      </c>
      <c r="L47" s="76">
        <v>18000</v>
      </c>
      <c r="M47" s="84">
        <f>+N47+O47+P47+Q47+R47</f>
        <v>0</v>
      </c>
      <c r="O47" s="53"/>
      <c r="P47" s="53"/>
      <c r="Q47" s="53"/>
      <c r="R47" s="53"/>
      <c r="S47" s="53"/>
      <c r="U47" s="53">
        <v>3600</v>
      </c>
      <c r="V47" s="53">
        <f>+L47/5</f>
        <v>3600</v>
      </c>
      <c r="W47" s="53">
        <f>+L47/5</f>
        <v>3600</v>
      </c>
      <c r="X47" s="53">
        <f>+L47/5</f>
        <v>3600</v>
      </c>
      <c r="Y47" s="53">
        <f>+L47/5</f>
        <v>3600</v>
      </c>
      <c r="Z47" s="53">
        <f>+L47/10</f>
        <v>1800</v>
      </c>
      <c r="AA47" s="53"/>
    </row>
    <row r="48" spans="1:27" x14ac:dyDescent="0.2">
      <c r="A48" s="1"/>
      <c r="B48" s="1"/>
      <c r="C48" s="1"/>
      <c r="D48" s="1" t="s">
        <v>113</v>
      </c>
      <c r="E48" s="140">
        <f>+'[1]Income Statement'!H52</f>
        <v>7203.5</v>
      </c>
      <c r="F48" s="140">
        <v>4016</v>
      </c>
      <c r="G48" s="140">
        <v>750</v>
      </c>
      <c r="H48" s="140"/>
      <c r="I48" s="140">
        <f t="shared" si="22"/>
        <v>11969.5</v>
      </c>
      <c r="J48" s="86">
        <f>+'[1]Budget operating'!S49</f>
        <v>10000</v>
      </c>
      <c r="K48" s="26">
        <f t="shared" si="23"/>
        <v>-1969.5</v>
      </c>
      <c r="L48" s="78">
        <v>10000</v>
      </c>
      <c r="M48" s="86">
        <f>+N48+O48+P48+Q48+R48</f>
        <v>0</v>
      </c>
      <c r="N48" s="140"/>
      <c r="O48" s="140"/>
      <c r="P48" s="140"/>
      <c r="Q48" s="140"/>
      <c r="R48" s="140"/>
      <c r="S48" s="140"/>
      <c r="T48" s="107"/>
      <c r="U48" s="140">
        <f>+L48/10</f>
        <v>1000</v>
      </c>
      <c r="V48" s="140">
        <f>+L48/5</f>
        <v>2000</v>
      </c>
      <c r="W48" s="140">
        <f>+L48/5</f>
        <v>2000</v>
      </c>
      <c r="X48" s="140">
        <f>+L48/5</f>
        <v>2000</v>
      </c>
      <c r="Y48" s="140">
        <f>+L48/5</f>
        <v>2000</v>
      </c>
      <c r="Z48" s="140">
        <f>+L48/10</f>
        <v>1000</v>
      </c>
      <c r="AA48" s="140"/>
    </row>
    <row r="49" spans="1:27" x14ac:dyDescent="0.2">
      <c r="A49" s="1"/>
      <c r="B49" s="1"/>
      <c r="C49" s="1" t="s">
        <v>114</v>
      </c>
      <c r="D49" s="1"/>
      <c r="E49" s="53">
        <f t="shared" ref="E49:J49" si="24">SUM(E44:E48)</f>
        <v>33365.020000000004</v>
      </c>
      <c r="F49" s="53">
        <f t="shared" si="24"/>
        <v>15863</v>
      </c>
      <c r="G49" s="53">
        <f t="shared" si="24"/>
        <v>750</v>
      </c>
      <c r="H49" s="53">
        <f t="shared" si="24"/>
        <v>0</v>
      </c>
      <c r="I49" s="53">
        <f t="shared" si="24"/>
        <v>49978.020000000004</v>
      </c>
      <c r="J49" s="84">
        <f t="shared" si="24"/>
        <v>43050</v>
      </c>
      <c r="K49" s="24">
        <f t="shared" si="23"/>
        <v>-6928.0200000000041</v>
      </c>
      <c r="L49" s="76">
        <f>SUM(L44:L48)</f>
        <v>43050</v>
      </c>
      <c r="M49" s="84">
        <f>SUM(M44:M48)</f>
        <v>0</v>
      </c>
      <c r="N49" s="53">
        <f>SUM(N44:N48)</f>
        <v>0</v>
      </c>
      <c r="O49" s="53">
        <f t="shared" ref="O49:AA49" si="25">SUM(O44:O48)</f>
        <v>0</v>
      </c>
      <c r="P49" s="53">
        <f t="shared" si="25"/>
        <v>0</v>
      </c>
      <c r="Q49" s="53">
        <f t="shared" si="25"/>
        <v>0</v>
      </c>
      <c r="R49" s="53">
        <f t="shared" si="25"/>
        <v>0</v>
      </c>
      <c r="S49" s="53"/>
      <c r="T49" s="53">
        <f>SUM(T44:T48)</f>
        <v>0</v>
      </c>
      <c r="U49" s="53">
        <f>SUM(U44:U48)</f>
        <v>6105</v>
      </c>
      <c r="V49" s="53">
        <f t="shared" si="25"/>
        <v>8610</v>
      </c>
      <c r="W49" s="53">
        <f t="shared" si="25"/>
        <v>8610</v>
      </c>
      <c r="X49" s="53">
        <f t="shared" si="25"/>
        <v>8610</v>
      </c>
      <c r="Y49" s="53">
        <f t="shared" si="25"/>
        <v>8610</v>
      </c>
      <c r="Z49" s="53">
        <f t="shared" si="25"/>
        <v>4305</v>
      </c>
      <c r="AA49" s="53">
        <f t="shared" si="25"/>
        <v>0</v>
      </c>
    </row>
    <row r="50" spans="1:27" ht="30" customHeight="1" x14ac:dyDescent="0.2">
      <c r="A50" s="1"/>
      <c r="B50" s="1"/>
      <c r="C50" s="1" t="s">
        <v>115</v>
      </c>
      <c r="D50" s="1"/>
      <c r="E50" s="53"/>
      <c r="F50" s="53"/>
      <c r="G50" s="53"/>
      <c r="H50" s="53"/>
      <c r="I50" s="53"/>
      <c r="J50" s="84"/>
      <c r="K50" s="24"/>
      <c r="L50" s="76"/>
      <c r="M50" s="84"/>
    </row>
    <row r="51" spans="1:27" x14ac:dyDescent="0.2">
      <c r="A51" s="1"/>
      <c r="B51" s="1"/>
      <c r="C51" s="1"/>
      <c r="D51" s="1" t="s">
        <v>116</v>
      </c>
      <c r="E51" s="53">
        <f>+'[1]Income Statement'!H55</f>
        <v>275</v>
      </c>
      <c r="F51" s="53">
        <v>0</v>
      </c>
      <c r="G51" s="53">
        <v>0</v>
      </c>
      <c r="H51" s="53">
        <v>0</v>
      </c>
      <c r="I51" s="53">
        <f t="shared" ref="I51:I57" si="26">+E51+F51+G51+H51</f>
        <v>275</v>
      </c>
      <c r="J51" s="84">
        <f>+'[1]Budget operating'!S52</f>
        <v>500</v>
      </c>
      <c r="K51" s="24">
        <f t="shared" ref="K51:K58" si="27">+J51-I51</f>
        <v>225</v>
      </c>
      <c r="L51" s="76">
        <v>275</v>
      </c>
      <c r="M51" s="84">
        <f t="shared" ref="M51:M57" si="28">+N51+O51+P51+Q51+R51</f>
        <v>275</v>
      </c>
      <c r="O51" s="53"/>
      <c r="P51" s="53">
        <v>275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x14ac:dyDescent="0.2">
      <c r="A52" s="1"/>
      <c r="B52" s="1"/>
      <c r="C52" s="1"/>
      <c r="D52" s="1" t="s">
        <v>41</v>
      </c>
      <c r="E52" s="53">
        <f>+'[1]Income Statement'!H56</f>
        <v>29920</v>
      </c>
      <c r="F52" s="53">
        <v>3360</v>
      </c>
      <c r="G52" s="53">
        <v>3600</v>
      </c>
      <c r="H52" s="53">
        <v>3600</v>
      </c>
      <c r="I52" s="53">
        <f t="shared" si="26"/>
        <v>40480</v>
      </c>
      <c r="J52" s="84">
        <f>+'[1]Budget operating'!S53</f>
        <v>40000</v>
      </c>
      <c r="K52" s="24">
        <f t="shared" si="27"/>
        <v>-480</v>
      </c>
      <c r="L52" s="76">
        <v>43602</v>
      </c>
      <c r="M52" s="84">
        <f t="shared" si="28"/>
        <v>18167.5</v>
      </c>
      <c r="N52" s="53">
        <f>+$L$52/12</f>
        <v>3633.5</v>
      </c>
      <c r="O52" s="53">
        <f t="shared" ref="O52:AA52" si="29">+$L$52/12</f>
        <v>3633.5</v>
      </c>
      <c r="P52" s="53">
        <f t="shared" si="29"/>
        <v>3633.5</v>
      </c>
      <c r="Q52" s="53">
        <f t="shared" si="29"/>
        <v>3633.5</v>
      </c>
      <c r="R52" s="53">
        <f t="shared" si="29"/>
        <v>3633.5</v>
      </c>
      <c r="S52" s="53"/>
      <c r="U52" s="53">
        <f t="shared" si="29"/>
        <v>3633.5</v>
      </c>
      <c r="V52" s="53">
        <f t="shared" si="29"/>
        <v>3633.5</v>
      </c>
      <c r="W52" s="53">
        <f t="shared" si="29"/>
        <v>3633.5</v>
      </c>
      <c r="X52" s="53">
        <f t="shared" si="29"/>
        <v>3633.5</v>
      </c>
      <c r="Y52" s="53">
        <f t="shared" si="29"/>
        <v>3633.5</v>
      </c>
      <c r="Z52" s="53">
        <f t="shared" si="29"/>
        <v>3633.5</v>
      </c>
      <c r="AA52" s="53">
        <f t="shared" si="29"/>
        <v>3633.5</v>
      </c>
    </row>
    <row r="53" spans="1:27" x14ac:dyDescent="0.2">
      <c r="A53" s="1"/>
      <c r="B53" s="1"/>
      <c r="C53" s="1"/>
      <c r="D53" s="1" t="s">
        <v>196</v>
      </c>
      <c r="E53" s="53">
        <f>+'[1]Income Statement'!H57</f>
        <v>11961.07</v>
      </c>
      <c r="F53" s="53">
        <v>1135.1600000000001</v>
      </c>
      <c r="G53" s="53">
        <v>3500</v>
      </c>
      <c r="H53" s="53">
        <v>3500</v>
      </c>
      <c r="I53" s="53">
        <f t="shared" si="26"/>
        <v>20096.23</v>
      </c>
      <c r="J53" s="84">
        <f>+'[1]Budget operating'!S54</f>
        <v>15000</v>
      </c>
      <c r="K53" s="24">
        <f t="shared" si="27"/>
        <v>-5096.2299999999996</v>
      </c>
      <c r="L53" s="76">
        <v>37000</v>
      </c>
      <c r="M53" s="84">
        <f t="shared" si="28"/>
        <v>15416.666666666668</v>
      </c>
      <c r="N53" s="53">
        <f>+$L$53/12</f>
        <v>3083.3333333333335</v>
      </c>
      <c r="O53" s="53">
        <f>+$L$53/12</f>
        <v>3083.3333333333335</v>
      </c>
      <c r="P53" s="53">
        <f>+$L$53/12</f>
        <v>3083.3333333333335</v>
      </c>
      <c r="Q53" s="53">
        <f>+$L$53/12</f>
        <v>3083.3333333333335</v>
      </c>
      <c r="R53" s="53">
        <f>+$L$53/12</f>
        <v>3083.3333333333335</v>
      </c>
      <c r="S53" s="53"/>
      <c r="U53" s="53">
        <v>5000</v>
      </c>
      <c r="V53" s="53">
        <v>2500</v>
      </c>
      <c r="W53" s="53">
        <v>500</v>
      </c>
      <c r="X53" s="53">
        <v>500</v>
      </c>
      <c r="Y53" s="53"/>
      <c r="Z53" s="53"/>
      <c r="AA53" s="53"/>
    </row>
    <row r="54" spans="1:27" x14ac:dyDescent="0.2">
      <c r="A54" s="1"/>
      <c r="B54" s="1"/>
      <c r="C54" s="1"/>
      <c r="D54" s="1" t="s">
        <v>119</v>
      </c>
      <c r="E54" s="53">
        <f>+'[1]Income Statement'!H58</f>
        <v>17624.8</v>
      </c>
      <c r="F54" s="53">
        <v>1900</v>
      </c>
      <c r="G54" s="53">
        <v>1900</v>
      </c>
      <c r="H54" s="53">
        <v>1900</v>
      </c>
      <c r="I54" s="53">
        <f t="shared" si="26"/>
        <v>23324.799999999999</v>
      </c>
      <c r="J54" s="84">
        <f>+'[1]Budget operating'!S55</f>
        <v>22800</v>
      </c>
      <c r="K54" s="24">
        <f t="shared" si="27"/>
        <v>-524.79999999999927</v>
      </c>
      <c r="L54" s="76">
        <v>23327.8</v>
      </c>
      <c r="M54" s="84">
        <f t="shared" si="28"/>
        <v>9719.9166666666661</v>
      </c>
      <c r="N54" s="53">
        <f>+$L$54/12</f>
        <v>1943.9833333333333</v>
      </c>
      <c r="O54" s="53">
        <f t="shared" ref="O54:AA54" si="30">+$L$54/12</f>
        <v>1943.9833333333333</v>
      </c>
      <c r="P54" s="53">
        <f t="shared" si="30"/>
        <v>1943.9833333333333</v>
      </c>
      <c r="Q54" s="53">
        <f t="shared" si="30"/>
        <v>1943.9833333333333</v>
      </c>
      <c r="R54" s="53">
        <f t="shared" si="30"/>
        <v>1943.9833333333333</v>
      </c>
      <c r="S54" s="53"/>
      <c r="U54" s="53">
        <f t="shared" si="30"/>
        <v>1943.9833333333333</v>
      </c>
      <c r="V54" s="53">
        <f t="shared" si="30"/>
        <v>1943.9833333333333</v>
      </c>
      <c r="W54" s="53">
        <f t="shared" si="30"/>
        <v>1943.9833333333333</v>
      </c>
      <c r="X54" s="53">
        <f t="shared" si="30"/>
        <v>1943.9833333333333</v>
      </c>
      <c r="Y54" s="53">
        <f t="shared" si="30"/>
        <v>1943.9833333333333</v>
      </c>
      <c r="Z54" s="53">
        <f t="shared" si="30"/>
        <v>1943.9833333333333</v>
      </c>
      <c r="AA54" s="53">
        <f t="shared" si="30"/>
        <v>1943.9833333333333</v>
      </c>
    </row>
    <row r="55" spans="1:27" x14ac:dyDescent="0.2">
      <c r="A55" s="1"/>
      <c r="B55" s="1"/>
      <c r="C55" s="1"/>
      <c r="D55" s="1" t="s">
        <v>121</v>
      </c>
      <c r="E55" s="53">
        <f>+'[1]Income Statement'!H59</f>
        <v>1971.44</v>
      </c>
      <c r="F55" s="53">
        <v>234.17</v>
      </c>
      <c r="G55" s="53">
        <v>220</v>
      </c>
      <c r="H55" s="53">
        <v>220</v>
      </c>
      <c r="I55" s="53">
        <f t="shared" si="26"/>
        <v>2645.61</v>
      </c>
      <c r="J55" s="84">
        <f>+'[1]Budget operating'!S56</f>
        <v>2400</v>
      </c>
      <c r="K55" s="24">
        <f t="shared" si="27"/>
        <v>-245.61000000000013</v>
      </c>
      <c r="L55" s="76">
        <v>2600</v>
      </c>
      <c r="M55" s="84">
        <f t="shared" si="28"/>
        <v>1083.3333333333333</v>
      </c>
      <c r="N55" s="53">
        <f>+$L$55/12</f>
        <v>216.66666666666666</v>
      </c>
      <c r="O55" s="53">
        <f t="shared" ref="O55:AA55" si="31">+$L$55/12</f>
        <v>216.66666666666666</v>
      </c>
      <c r="P55" s="53">
        <f t="shared" si="31"/>
        <v>216.66666666666666</v>
      </c>
      <c r="Q55" s="53">
        <f t="shared" si="31"/>
        <v>216.66666666666666</v>
      </c>
      <c r="R55" s="53">
        <f t="shared" si="31"/>
        <v>216.66666666666666</v>
      </c>
      <c r="S55" s="53"/>
      <c r="U55" s="53">
        <f t="shared" si="31"/>
        <v>216.66666666666666</v>
      </c>
      <c r="V55" s="53">
        <f t="shared" si="31"/>
        <v>216.66666666666666</v>
      </c>
      <c r="W55" s="53">
        <f t="shared" si="31"/>
        <v>216.66666666666666</v>
      </c>
      <c r="X55" s="53">
        <f t="shared" si="31"/>
        <v>216.66666666666666</v>
      </c>
      <c r="Y55" s="53">
        <f t="shared" si="31"/>
        <v>216.66666666666666</v>
      </c>
      <c r="Z55" s="53">
        <f t="shared" si="31"/>
        <v>216.66666666666666</v>
      </c>
      <c r="AA55" s="53">
        <f t="shared" si="31"/>
        <v>216.66666666666666</v>
      </c>
    </row>
    <row r="56" spans="1:27" x14ac:dyDescent="0.2">
      <c r="A56" s="1"/>
      <c r="B56" s="1"/>
      <c r="C56" s="1"/>
      <c r="D56" s="1" t="s">
        <v>47</v>
      </c>
      <c r="E56" s="53">
        <f>+'[1]Income Statement'!H60</f>
        <v>3070.15</v>
      </c>
      <c r="F56" s="53">
        <v>219.31</v>
      </c>
      <c r="G56" s="53">
        <v>342</v>
      </c>
      <c r="H56" s="53">
        <v>342</v>
      </c>
      <c r="I56" s="53">
        <f t="shared" si="26"/>
        <v>3973.46</v>
      </c>
      <c r="J56" s="84">
        <f>+'[1]Budget operating'!S57</f>
        <v>3310</v>
      </c>
      <c r="K56" s="24">
        <f t="shared" si="27"/>
        <v>-663.46</v>
      </c>
      <c r="L56" s="76">
        <v>4000</v>
      </c>
      <c r="M56" s="84">
        <f t="shared" si="28"/>
        <v>1666.6666666666665</v>
      </c>
      <c r="N56" s="53">
        <f>+$L$56/12</f>
        <v>333.33333333333331</v>
      </c>
      <c r="O56" s="53">
        <f>+$L$56/12</f>
        <v>333.33333333333331</v>
      </c>
      <c r="P56" s="53">
        <f>+$L$56/12</f>
        <v>333.33333333333331</v>
      </c>
      <c r="Q56" s="53">
        <f>+$L$56/12</f>
        <v>333.33333333333331</v>
      </c>
      <c r="R56" s="53">
        <f>+$L$56/12</f>
        <v>333.33333333333331</v>
      </c>
      <c r="S56" s="53"/>
      <c r="U56" s="53">
        <f t="shared" ref="U56:AA56" si="32">+$L$56/12</f>
        <v>333.33333333333331</v>
      </c>
      <c r="V56" s="53">
        <f t="shared" si="32"/>
        <v>333.33333333333331</v>
      </c>
      <c r="W56" s="53">
        <f t="shared" si="32"/>
        <v>333.33333333333331</v>
      </c>
      <c r="X56" s="53">
        <f t="shared" si="32"/>
        <v>333.33333333333331</v>
      </c>
      <c r="Y56" s="53">
        <f t="shared" si="32"/>
        <v>333.33333333333331</v>
      </c>
      <c r="Z56" s="53">
        <f t="shared" si="32"/>
        <v>333.33333333333331</v>
      </c>
      <c r="AA56" s="53">
        <f t="shared" si="32"/>
        <v>333.33333333333331</v>
      </c>
    </row>
    <row r="57" spans="1:27" x14ac:dyDescent="0.2">
      <c r="A57" s="1"/>
      <c r="B57" s="1"/>
      <c r="C57" s="1"/>
      <c r="D57" s="1" t="s">
        <v>122</v>
      </c>
      <c r="E57" s="140">
        <f>+'[1]Income Statement'!H62</f>
        <v>6122.64</v>
      </c>
      <c r="F57" s="140">
        <v>0</v>
      </c>
      <c r="G57" s="140">
        <v>0</v>
      </c>
      <c r="H57" s="140">
        <v>0</v>
      </c>
      <c r="I57" s="140">
        <f t="shared" si="26"/>
        <v>6122.64</v>
      </c>
      <c r="J57" s="86">
        <f>+'[1]Budget operating'!S59</f>
        <v>5750</v>
      </c>
      <c r="K57" s="26">
        <f t="shared" si="27"/>
        <v>-372.64000000000033</v>
      </c>
      <c r="L57" s="78">
        <f>+ROUND(I57*1.03,0)</f>
        <v>6306</v>
      </c>
      <c r="M57" s="86">
        <f t="shared" si="28"/>
        <v>0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07"/>
      <c r="X57" s="140"/>
      <c r="Y57" s="140"/>
      <c r="Z57" s="140">
        <f>+L57</f>
        <v>6306</v>
      </c>
      <c r="AA57" s="140"/>
    </row>
    <row r="58" spans="1:27" x14ac:dyDescent="0.2">
      <c r="A58" s="1"/>
      <c r="B58" s="1"/>
      <c r="C58" s="1" t="s">
        <v>123</v>
      </c>
      <c r="D58" s="1"/>
      <c r="E58" s="53">
        <f t="shared" ref="E58:J58" si="33">SUM(E51:E57)</f>
        <v>70945.100000000006</v>
      </c>
      <c r="F58" s="53">
        <f t="shared" si="33"/>
        <v>6848.64</v>
      </c>
      <c r="G58" s="53">
        <f t="shared" si="33"/>
        <v>9562</v>
      </c>
      <c r="H58" s="53">
        <f t="shared" si="33"/>
        <v>9562</v>
      </c>
      <c r="I58" s="53">
        <f t="shared" si="33"/>
        <v>96917.74</v>
      </c>
      <c r="J58" s="84">
        <f t="shared" si="33"/>
        <v>89760</v>
      </c>
      <c r="K58" s="24">
        <f t="shared" si="27"/>
        <v>-7157.7400000000052</v>
      </c>
      <c r="L58" s="76">
        <f t="shared" ref="L58:R58" si="34">SUM(L51:L57)</f>
        <v>117110.8</v>
      </c>
      <c r="M58" s="84">
        <f t="shared" si="34"/>
        <v>46329.083333333336</v>
      </c>
      <c r="N58" s="53">
        <f t="shared" si="34"/>
        <v>9210.8166666666675</v>
      </c>
      <c r="O58" s="53">
        <f t="shared" si="34"/>
        <v>9210.8166666666675</v>
      </c>
      <c r="P58" s="53">
        <f t="shared" si="34"/>
        <v>9485.8166666666675</v>
      </c>
      <c r="Q58" s="53">
        <f t="shared" si="34"/>
        <v>9210.8166666666675</v>
      </c>
      <c r="R58" s="53">
        <f t="shared" si="34"/>
        <v>9210.8166666666675</v>
      </c>
      <c r="S58" s="53"/>
      <c r="T58" s="53">
        <f t="shared" ref="T58:AA58" si="35">SUM(T51:T57)</f>
        <v>0</v>
      </c>
      <c r="U58" s="53">
        <f t="shared" si="35"/>
        <v>11127.483333333334</v>
      </c>
      <c r="V58" s="53">
        <f t="shared" si="35"/>
        <v>8627.4833333333336</v>
      </c>
      <c r="W58" s="53">
        <f t="shared" si="35"/>
        <v>6627.4833333333336</v>
      </c>
      <c r="X58" s="53">
        <f t="shared" si="35"/>
        <v>6627.4833333333336</v>
      </c>
      <c r="Y58" s="53">
        <f t="shared" si="35"/>
        <v>6127.4833333333336</v>
      </c>
      <c r="Z58" s="53">
        <f t="shared" si="35"/>
        <v>12433.483333333334</v>
      </c>
      <c r="AA58" s="53">
        <f t="shared" si="35"/>
        <v>6127.4833333333336</v>
      </c>
    </row>
    <row r="59" spans="1:27" ht="30" customHeight="1" x14ac:dyDescent="0.2">
      <c r="A59" s="1"/>
      <c r="B59" s="1"/>
      <c r="C59" s="1" t="s">
        <v>124</v>
      </c>
      <c r="D59" s="1"/>
      <c r="E59" s="53"/>
      <c r="F59" s="53"/>
      <c r="G59" s="53"/>
      <c r="H59" s="53"/>
      <c r="I59" s="53">
        <f t="shared" ref="I59:I71" si="36">+E59+F59+G59+H59</f>
        <v>0</v>
      </c>
      <c r="J59" s="84"/>
      <c r="K59" s="24"/>
      <c r="L59" s="76"/>
      <c r="M59" s="84"/>
    </row>
    <row r="60" spans="1:27" x14ac:dyDescent="0.2">
      <c r="A60" s="1"/>
      <c r="B60" s="1"/>
      <c r="C60" s="1"/>
      <c r="D60" s="1" t="s">
        <v>125</v>
      </c>
      <c r="E60" s="53">
        <f>+'[1]Income Statement'!H65</f>
        <v>915</v>
      </c>
      <c r="F60" s="53">
        <v>0</v>
      </c>
      <c r="G60" s="53">
        <v>75</v>
      </c>
      <c r="H60" s="53">
        <v>75</v>
      </c>
      <c r="I60" s="53">
        <f t="shared" si="36"/>
        <v>1065</v>
      </c>
      <c r="J60" s="84">
        <v>1350</v>
      </c>
      <c r="K60" s="24">
        <f t="shared" ref="K60:K72" si="37">+J60-I60</f>
        <v>285</v>
      </c>
      <c r="L60" s="76">
        <v>1350</v>
      </c>
      <c r="M60" s="84">
        <f t="shared" ref="M60:M71" si="38">+N60+O60+P60+Q60+R60</f>
        <v>562.5</v>
      </c>
      <c r="N60" s="53">
        <f>+$L$60/12</f>
        <v>112.5</v>
      </c>
      <c r="O60" s="53">
        <f t="shared" ref="O60:AA60" si="39">+$L$60/12</f>
        <v>112.5</v>
      </c>
      <c r="P60" s="53">
        <f t="shared" si="39"/>
        <v>112.5</v>
      </c>
      <c r="Q60" s="53">
        <f t="shared" si="39"/>
        <v>112.5</v>
      </c>
      <c r="R60" s="53">
        <f t="shared" si="39"/>
        <v>112.5</v>
      </c>
      <c r="S60" s="53"/>
      <c r="U60" s="53">
        <f t="shared" si="39"/>
        <v>112.5</v>
      </c>
      <c r="V60" s="53">
        <f t="shared" si="39"/>
        <v>112.5</v>
      </c>
      <c r="W60" s="53">
        <f t="shared" si="39"/>
        <v>112.5</v>
      </c>
      <c r="X60" s="53">
        <f t="shared" si="39"/>
        <v>112.5</v>
      </c>
      <c r="Y60" s="53">
        <f t="shared" si="39"/>
        <v>112.5</v>
      </c>
      <c r="Z60" s="53">
        <f t="shared" si="39"/>
        <v>112.5</v>
      </c>
      <c r="AA60" s="53">
        <f t="shared" si="39"/>
        <v>112.5</v>
      </c>
    </row>
    <row r="61" spans="1:27" x14ac:dyDescent="0.2">
      <c r="A61" s="1"/>
      <c r="B61" s="1"/>
      <c r="C61" s="1"/>
      <c r="D61" s="1" t="s">
        <v>200</v>
      </c>
      <c r="E61" s="53">
        <f>+'[1]Income Statement'!H66</f>
        <v>0</v>
      </c>
      <c r="F61" s="53"/>
      <c r="G61" s="53"/>
      <c r="H61" s="53">
        <v>500</v>
      </c>
      <c r="I61" s="53">
        <f t="shared" si="36"/>
        <v>500</v>
      </c>
      <c r="J61" s="84">
        <f>+'[1]Budget operating'!S64</f>
        <v>1000</v>
      </c>
      <c r="K61" s="24">
        <f t="shared" si="37"/>
        <v>500</v>
      </c>
      <c r="L61" s="76">
        <v>1000</v>
      </c>
      <c r="M61" s="84">
        <f t="shared" si="38"/>
        <v>416.66666666666663</v>
      </c>
      <c r="N61" s="53">
        <f>+$L$61/12</f>
        <v>83.333333333333329</v>
      </c>
      <c r="O61" s="53">
        <f t="shared" ref="O61:AA61" si="40">+$L$61/12</f>
        <v>83.333333333333329</v>
      </c>
      <c r="P61" s="53">
        <f t="shared" si="40"/>
        <v>83.333333333333329</v>
      </c>
      <c r="Q61" s="53">
        <f t="shared" si="40"/>
        <v>83.333333333333329</v>
      </c>
      <c r="R61" s="53">
        <f t="shared" si="40"/>
        <v>83.333333333333329</v>
      </c>
      <c r="S61" s="53"/>
      <c r="U61" s="53">
        <f t="shared" si="40"/>
        <v>83.333333333333329</v>
      </c>
      <c r="V61" s="53">
        <f t="shared" si="40"/>
        <v>83.333333333333329</v>
      </c>
      <c r="W61" s="53">
        <f t="shared" si="40"/>
        <v>83.333333333333329</v>
      </c>
      <c r="X61" s="53">
        <f t="shared" si="40"/>
        <v>83.333333333333329</v>
      </c>
      <c r="Y61" s="53">
        <f t="shared" si="40"/>
        <v>83.333333333333329</v>
      </c>
      <c r="Z61" s="53">
        <f t="shared" si="40"/>
        <v>83.333333333333329</v>
      </c>
      <c r="AA61" s="53">
        <f t="shared" si="40"/>
        <v>83.333333333333329</v>
      </c>
    </row>
    <row r="62" spans="1:27" x14ac:dyDescent="0.2">
      <c r="A62" s="1"/>
      <c r="B62" s="1"/>
      <c r="C62" s="1"/>
      <c r="D62" s="1" t="s">
        <v>127</v>
      </c>
      <c r="E62" s="53">
        <f>+'[1]Income Statement'!H67</f>
        <v>314.2</v>
      </c>
      <c r="F62" s="53">
        <v>0</v>
      </c>
      <c r="G62" s="53">
        <v>885.8</v>
      </c>
      <c r="H62" s="53"/>
      <c r="I62" s="53">
        <f t="shared" si="36"/>
        <v>1200</v>
      </c>
      <c r="J62" s="84">
        <f>+'[1]Budget operating'!S65</f>
        <v>1200</v>
      </c>
      <c r="K62" s="24">
        <f t="shared" si="37"/>
        <v>0</v>
      </c>
      <c r="L62" s="76">
        <v>1200</v>
      </c>
      <c r="M62" s="84">
        <f t="shared" si="38"/>
        <v>500</v>
      </c>
      <c r="N62" s="53">
        <f>+$L$62/12</f>
        <v>100</v>
      </c>
      <c r="O62" s="53">
        <f t="shared" ref="O62:AA62" si="41">+$L$62/12</f>
        <v>100</v>
      </c>
      <c r="P62" s="53">
        <f t="shared" si="41"/>
        <v>100</v>
      </c>
      <c r="Q62" s="53">
        <f t="shared" si="41"/>
        <v>100</v>
      </c>
      <c r="R62" s="53">
        <f t="shared" si="41"/>
        <v>100</v>
      </c>
      <c r="S62" s="53"/>
      <c r="U62" s="53">
        <f t="shared" si="41"/>
        <v>100</v>
      </c>
      <c r="V62" s="53">
        <f t="shared" si="41"/>
        <v>100</v>
      </c>
      <c r="W62" s="53">
        <f t="shared" si="41"/>
        <v>100</v>
      </c>
      <c r="X62" s="53">
        <f t="shared" si="41"/>
        <v>100</v>
      </c>
      <c r="Y62" s="53">
        <f t="shared" si="41"/>
        <v>100</v>
      </c>
      <c r="Z62" s="53">
        <f t="shared" si="41"/>
        <v>100</v>
      </c>
      <c r="AA62" s="53">
        <f t="shared" si="41"/>
        <v>100</v>
      </c>
    </row>
    <row r="63" spans="1:27" x14ac:dyDescent="0.2">
      <c r="A63" s="1"/>
      <c r="B63" s="1"/>
      <c r="C63" s="1"/>
      <c r="D63" s="1" t="s">
        <v>128</v>
      </c>
      <c r="E63" s="53">
        <f>+'[1]Income Statement'!H68</f>
        <v>0</v>
      </c>
      <c r="F63" s="53"/>
      <c r="G63" s="53"/>
      <c r="H63" s="53"/>
      <c r="I63" s="53">
        <f t="shared" si="36"/>
        <v>0</v>
      </c>
      <c r="J63" s="84">
        <v>2500</v>
      </c>
      <c r="K63" s="24">
        <f t="shared" si="37"/>
        <v>2500</v>
      </c>
      <c r="L63" s="76">
        <v>1000</v>
      </c>
      <c r="M63" s="84">
        <f t="shared" si="38"/>
        <v>416.66666666666663</v>
      </c>
      <c r="N63" s="53">
        <f>+$L$63/12</f>
        <v>83.333333333333329</v>
      </c>
      <c r="O63" s="53">
        <f t="shared" ref="O63:AA63" si="42">+$L$63/12</f>
        <v>83.333333333333329</v>
      </c>
      <c r="P63" s="53">
        <f t="shared" si="42"/>
        <v>83.333333333333329</v>
      </c>
      <c r="Q63" s="53">
        <f t="shared" si="42"/>
        <v>83.333333333333329</v>
      </c>
      <c r="R63" s="53">
        <f t="shared" si="42"/>
        <v>83.333333333333329</v>
      </c>
      <c r="S63" s="53"/>
      <c r="U63" s="53">
        <f t="shared" si="42"/>
        <v>83.333333333333329</v>
      </c>
      <c r="V63" s="53">
        <f t="shared" si="42"/>
        <v>83.333333333333329</v>
      </c>
      <c r="W63" s="53">
        <f t="shared" si="42"/>
        <v>83.333333333333329</v>
      </c>
      <c r="X63" s="53">
        <f t="shared" si="42"/>
        <v>83.333333333333329</v>
      </c>
      <c r="Y63" s="53">
        <f t="shared" si="42"/>
        <v>83.333333333333329</v>
      </c>
      <c r="Z63" s="53">
        <f t="shared" si="42"/>
        <v>83.333333333333329</v>
      </c>
      <c r="AA63" s="53">
        <f t="shared" si="42"/>
        <v>83.333333333333329</v>
      </c>
    </row>
    <row r="64" spans="1:27" x14ac:dyDescent="0.2">
      <c r="A64" s="1"/>
      <c r="B64" s="1"/>
      <c r="C64" s="1"/>
      <c r="D64" s="1" t="s">
        <v>201</v>
      </c>
      <c r="E64" s="53">
        <f>+'[1]Income Statement'!H69</f>
        <v>0</v>
      </c>
      <c r="F64" s="53"/>
      <c r="G64" s="53"/>
      <c r="H64" s="53"/>
      <c r="I64" s="53">
        <f t="shared" si="36"/>
        <v>0</v>
      </c>
      <c r="J64" s="84">
        <v>0</v>
      </c>
      <c r="K64" s="24">
        <f t="shared" si="37"/>
        <v>0</v>
      </c>
      <c r="L64" s="76"/>
      <c r="M64" s="84">
        <f t="shared" si="38"/>
        <v>0</v>
      </c>
      <c r="N64" s="53">
        <f>+$L$64/12</f>
        <v>0</v>
      </c>
      <c r="O64" s="53">
        <f t="shared" ref="O64:AA64" si="43">+$L$64/12</f>
        <v>0</v>
      </c>
      <c r="P64" s="53">
        <f t="shared" si="43"/>
        <v>0</v>
      </c>
      <c r="Q64" s="53">
        <f t="shared" si="43"/>
        <v>0</v>
      </c>
      <c r="R64" s="53">
        <f t="shared" si="43"/>
        <v>0</v>
      </c>
      <c r="S64" s="53"/>
      <c r="U64" s="53">
        <f t="shared" si="43"/>
        <v>0</v>
      </c>
      <c r="V64" s="53">
        <f t="shared" si="43"/>
        <v>0</v>
      </c>
      <c r="W64" s="53">
        <f t="shared" si="43"/>
        <v>0</v>
      </c>
      <c r="X64" s="53">
        <f t="shared" si="43"/>
        <v>0</v>
      </c>
      <c r="Y64" s="53">
        <f t="shared" si="43"/>
        <v>0</v>
      </c>
      <c r="Z64" s="53">
        <f t="shared" si="43"/>
        <v>0</v>
      </c>
      <c r="AA64" s="53">
        <f t="shared" si="43"/>
        <v>0</v>
      </c>
    </row>
    <row r="65" spans="1:27" x14ac:dyDescent="0.2">
      <c r="A65" s="1"/>
      <c r="B65" s="1"/>
      <c r="C65" s="1"/>
      <c r="D65" s="1" t="s">
        <v>202</v>
      </c>
      <c r="E65" s="53">
        <f>+'[1]Income Statement'!H70</f>
        <v>4854.04</v>
      </c>
      <c r="F65" s="53">
        <v>374.61</v>
      </c>
      <c r="G65" s="53">
        <v>266</v>
      </c>
      <c r="H65" s="53">
        <v>266</v>
      </c>
      <c r="I65" s="53">
        <f t="shared" si="36"/>
        <v>5760.65</v>
      </c>
      <c r="J65" s="84">
        <v>5800</v>
      </c>
      <c r="K65" s="24">
        <f t="shared" si="37"/>
        <v>39.350000000000364</v>
      </c>
      <c r="L65" s="76">
        <v>5700</v>
      </c>
      <c r="M65" s="84">
        <f t="shared" si="38"/>
        <v>2375</v>
      </c>
      <c r="N65" s="53">
        <f>+$L$65/12</f>
        <v>475</v>
      </c>
      <c r="O65" s="53">
        <f>+$L$65/12</f>
        <v>475</v>
      </c>
      <c r="P65" s="53">
        <f>+$L$65/12</f>
        <v>475</v>
      </c>
      <c r="Q65" s="53">
        <f>+$L$65/12</f>
        <v>475</v>
      </c>
      <c r="R65" s="53">
        <f>+$L$65/12</f>
        <v>475</v>
      </c>
      <c r="S65" s="53"/>
      <c r="T65" s="53">
        <v>0</v>
      </c>
      <c r="U65" s="53">
        <v>600</v>
      </c>
      <c r="V65" s="53">
        <v>600</v>
      </c>
      <c r="W65" s="53">
        <v>600</v>
      </c>
      <c r="X65" s="53">
        <v>600</v>
      </c>
      <c r="Y65" s="53">
        <v>600</v>
      </c>
      <c r="Z65" s="53">
        <f>+$L$65/12</f>
        <v>475</v>
      </c>
      <c r="AA65" s="53">
        <f>+$L$65/12</f>
        <v>475</v>
      </c>
    </row>
    <row r="66" spans="1:27" x14ac:dyDescent="0.2">
      <c r="A66" s="1"/>
      <c r="B66" s="1"/>
      <c r="C66" s="1"/>
      <c r="D66" s="1" t="s">
        <v>204</v>
      </c>
      <c r="E66" s="53">
        <f>+'[1]Income Statement'!H71</f>
        <v>4419.3</v>
      </c>
      <c r="F66" s="53">
        <v>527.53</v>
      </c>
      <c r="G66" s="53">
        <v>535</v>
      </c>
      <c r="H66" s="53">
        <v>535</v>
      </c>
      <c r="I66" s="53">
        <f t="shared" si="36"/>
        <v>6016.83</v>
      </c>
      <c r="J66" s="84">
        <v>7850</v>
      </c>
      <c r="K66" s="24">
        <f t="shared" si="37"/>
        <v>1833.17</v>
      </c>
      <c r="L66" s="76">
        <f>+ROUND(I66*1.04,0)</f>
        <v>6258</v>
      </c>
      <c r="M66" s="84">
        <f t="shared" si="38"/>
        <v>2607.5</v>
      </c>
      <c r="N66" s="53">
        <f>+$L$66/12</f>
        <v>521.5</v>
      </c>
      <c r="O66" s="53">
        <f>+$L$66/12</f>
        <v>521.5</v>
      </c>
      <c r="P66" s="53">
        <f>+$L$66/12</f>
        <v>521.5</v>
      </c>
      <c r="Q66" s="53">
        <f>+$L$66/12</f>
        <v>521.5</v>
      </c>
      <c r="R66" s="53">
        <f>+$L$66/12</f>
        <v>521.5</v>
      </c>
      <c r="S66" s="53"/>
      <c r="U66" s="53">
        <v>550</v>
      </c>
      <c r="V66" s="53">
        <v>550</v>
      </c>
      <c r="W66" s="53">
        <v>550</v>
      </c>
      <c r="X66" s="53">
        <v>550</v>
      </c>
      <c r="Y66" s="53">
        <v>550</v>
      </c>
      <c r="Z66" s="53">
        <v>550</v>
      </c>
      <c r="AA66" s="53">
        <f>+$L$66/12</f>
        <v>521.5</v>
      </c>
    </row>
    <row r="67" spans="1:27" x14ac:dyDescent="0.2">
      <c r="A67" s="1"/>
      <c r="B67" s="1"/>
      <c r="C67" s="1"/>
      <c r="D67" s="1" t="s">
        <v>206</v>
      </c>
      <c r="E67" s="53">
        <f>+'[1]Income Statement'!H72</f>
        <v>6918.84</v>
      </c>
      <c r="F67" s="53">
        <v>303.45999999999998</v>
      </c>
      <c r="G67" s="53">
        <v>400</v>
      </c>
      <c r="H67" s="53">
        <v>400</v>
      </c>
      <c r="I67" s="53">
        <f t="shared" si="36"/>
        <v>8022.3</v>
      </c>
      <c r="J67" s="84">
        <v>7500</v>
      </c>
      <c r="K67" s="24">
        <f t="shared" si="37"/>
        <v>-522.30000000000018</v>
      </c>
      <c r="L67" s="76">
        <v>8200</v>
      </c>
      <c r="M67" s="84">
        <f t="shared" si="38"/>
        <v>6400</v>
      </c>
      <c r="N67" s="53">
        <v>1500</v>
      </c>
      <c r="O67" s="53">
        <v>1500</v>
      </c>
      <c r="P67" s="53">
        <v>1200</v>
      </c>
      <c r="Q67" s="53">
        <v>1200</v>
      </c>
      <c r="R67" s="53">
        <v>1000</v>
      </c>
      <c r="S67" s="53"/>
      <c r="T67">
        <f>159.77+84.74</f>
        <v>244.51</v>
      </c>
      <c r="U67" s="53">
        <v>0</v>
      </c>
      <c r="V67" s="53">
        <v>200</v>
      </c>
      <c r="W67" s="53">
        <v>200</v>
      </c>
      <c r="X67" s="53">
        <v>200</v>
      </c>
      <c r="Y67" s="53">
        <v>200</v>
      </c>
      <c r="Z67" s="53">
        <v>200</v>
      </c>
      <c r="AA67" s="53">
        <v>500</v>
      </c>
    </row>
    <row r="68" spans="1:27" x14ac:dyDescent="0.2">
      <c r="A68" s="1"/>
      <c r="B68" s="1"/>
      <c r="C68" s="1"/>
      <c r="D68" s="1" t="s">
        <v>132</v>
      </c>
      <c r="E68" s="53">
        <f>+'[1]Income Statement'!H73</f>
        <v>6400</v>
      </c>
      <c r="F68" s="53"/>
      <c r="G68" s="53"/>
      <c r="H68" s="53">
        <v>1600</v>
      </c>
      <c r="I68" s="53">
        <f t="shared" si="36"/>
        <v>8000</v>
      </c>
      <c r="J68" s="84">
        <v>8000</v>
      </c>
      <c r="K68" s="24">
        <f t="shared" si="37"/>
        <v>0</v>
      </c>
      <c r="L68" s="76">
        <v>8000</v>
      </c>
      <c r="M68" s="84">
        <f t="shared" si="38"/>
        <v>3333.333333333333</v>
      </c>
      <c r="N68" s="53">
        <f>+$L$68/12</f>
        <v>666.66666666666663</v>
      </c>
      <c r="O68" s="53">
        <f>+$L$68/12</f>
        <v>666.66666666666663</v>
      </c>
      <c r="P68" s="53">
        <f>+$L$68/12</f>
        <v>666.66666666666663</v>
      </c>
      <c r="Q68" s="53">
        <f>+$L$68/12</f>
        <v>666.66666666666663</v>
      </c>
      <c r="R68" s="53">
        <f>+$L$68/12</f>
        <v>666.66666666666663</v>
      </c>
      <c r="S68" s="53"/>
      <c r="U68" s="53">
        <v>0</v>
      </c>
      <c r="V68" s="53"/>
      <c r="W68" s="53"/>
      <c r="X68" s="53"/>
      <c r="Y68" s="53"/>
      <c r="Z68" s="53"/>
      <c r="AA68" s="53">
        <f>+$L$68/12</f>
        <v>666.66666666666663</v>
      </c>
    </row>
    <row r="69" spans="1:27" x14ac:dyDescent="0.2">
      <c r="A69" s="1"/>
      <c r="B69" s="1"/>
      <c r="C69" s="1"/>
      <c r="D69" s="1" t="s">
        <v>133</v>
      </c>
      <c r="E69" s="53">
        <f>+'[1]Income Statement'!H74</f>
        <v>2727.95</v>
      </c>
      <c r="F69" s="53">
        <v>0</v>
      </c>
      <c r="G69" s="53">
        <v>300</v>
      </c>
      <c r="H69" s="53">
        <v>300</v>
      </c>
      <c r="I69" s="53">
        <f t="shared" si="36"/>
        <v>3327.95</v>
      </c>
      <c r="J69" s="84">
        <v>9000</v>
      </c>
      <c r="K69" s="24">
        <f t="shared" si="37"/>
        <v>5672.05</v>
      </c>
      <c r="L69" s="76">
        <v>9000</v>
      </c>
      <c r="M69" s="84">
        <f t="shared" si="38"/>
        <v>8500</v>
      </c>
      <c r="N69" s="53">
        <v>2000</v>
      </c>
      <c r="O69" s="53">
        <v>2000</v>
      </c>
      <c r="P69" s="53">
        <v>2000</v>
      </c>
      <c r="Q69" s="53">
        <v>2000</v>
      </c>
      <c r="R69" s="53">
        <v>500</v>
      </c>
      <c r="S69" s="53"/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500</v>
      </c>
    </row>
    <row r="70" spans="1:27" x14ac:dyDescent="0.2">
      <c r="A70" s="1"/>
      <c r="B70" s="1"/>
      <c r="C70" s="1"/>
      <c r="D70" s="1" t="s">
        <v>134</v>
      </c>
      <c r="E70" s="53">
        <f>+'[1]Income Statement'!H75</f>
        <v>2217.16</v>
      </c>
      <c r="F70" s="53">
        <v>-40.659999999999997</v>
      </c>
      <c r="G70" s="53">
        <v>250</v>
      </c>
      <c r="H70" s="53">
        <v>250</v>
      </c>
      <c r="I70" s="53">
        <f t="shared" si="36"/>
        <v>2676.5</v>
      </c>
      <c r="J70" s="84">
        <v>2200</v>
      </c>
      <c r="K70" s="24">
        <f t="shared" si="37"/>
        <v>-476.5</v>
      </c>
      <c r="L70" s="76">
        <v>2300</v>
      </c>
      <c r="M70" s="84">
        <f t="shared" si="38"/>
        <v>958.33333333333326</v>
      </c>
      <c r="N70" s="53">
        <f>+$L$70/12</f>
        <v>191.66666666666666</v>
      </c>
      <c r="O70" s="53">
        <f t="shared" ref="O70:AA70" si="44">+$L$70/12</f>
        <v>191.66666666666666</v>
      </c>
      <c r="P70" s="53">
        <f t="shared" si="44"/>
        <v>191.66666666666666</v>
      </c>
      <c r="Q70" s="53">
        <f t="shared" si="44"/>
        <v>191.66666666666666</v>
      </c>
      <c r="R70" s="53">
        <f t="shared" si="44"/>
        <v>191.66666666666666</v>
      </c>
      <c r="S70" s="53"/>
      <c r="U70" s="53">
        <f t="shared" si="44"/>
        <v>191.66666666666666</v>
      </c>
      <c r="V70" s="53">
        <f t="shared" si="44"/>
        <v>191.66666666666666</v>
      </c>
      <c r="W70" s="53">
        <f t="shared" si="44"/>
        <v>191.66666666666666</v>
      </c>
      <c r="X70" s="53">
        <f t="shared" si="44"/>
        <v>191.66666666666666</v>
      </c>
      <c r="Y70" s="53">
        <f t="shared" si="44"/>
        <v>191.66666666666666</v>
      </c>
      <c r="Z70" s="53">
        <f t="shared" si="44"/>
        <v>191.66666666666666</v>
      </c>
      <c r="AA70" s="53">
        <f t="shared" si="44"/>
        <v>191.66666666666666</v>
      </c>
    </row>
    <row r="71" spans="1:27" x14ac:dyDescent="0.2">
      <c r="A71" s="1"/>
      <c r="B71" s="1"/>
      <c r="C71" s="1"/>
      <c r="D71" s="1" t="s">
        <v>135</v>
      </c>
      <c r="E71" s="140">
        <f>+'[1]Income Statement'!H76</f>
        <v>687</v>
      </c>
      <c r="F71" s="140"/>
      <c r="G71" s="140"/>
      <c r="H71" s="140">
        <v>500</v>
      </c>
      <c r="I71" s="140">
        <f t="shared" si="36"/>
        <v>1187</v>
      </c>
      <c r="J71" s="86">
        <f>+'[1]Budget operating'!S74</f>
        <v>3000</v>
      </c>
      <c r="K71" s="26">
        <f t="shared" si="37"/>
        <v>1813</v>
      </c>
      <c r="L71" s="78">
        <v>8000</v>
      </c>
      <c r="M71" s="86">
        <f t="shared" si="38"/>
        <v>3333.333333333333</v>
      </c>
      <c r="N71" s="140">
        <f>+$L$71/12</f>
        <v>666.66666666666663</v>
      </c>
      <c r="O71" s="140">
        <f t="shared" ref="O71:AA71" si="45">+$L$71/12</f>
        <v>666.66666666666663</v>
      </c>
      <c r="P71" s="140">
        <f t="shared" si="45"/>
        <v>666.66666666666663</v>
      </c>
      <c r="Q71" s="140">
        <f t="shared" si="45"/>
        <v>666.66666666666663</v>
      </c>
      <c r="R71" s="140">
        <f t="shared" si="45"/>
        <v>666.66666666666663</v>
      </c>
      <c r="S71" s="140"/>
      <c r="T71" s="107"/>
      <c r="U71" s="140">
        <f t="shared" si="45"/>
        <v>666.66666666666663</v>
      </c>
      <c r="V71" s="140">
        <f t="shared" si="45"/>
        <v>666.66666666666663</v>
      </c>
      <c r="W71" s="140">
        <f t="shared" si="45"/>
        <v>666.66666666666663</v>
      </c>
      <c r="X71" s="140">
        <f t="shared" si="45"/>
        <v>666.66666666666663</v>
      </c>
      <c r="Y71" s="140">
        <f t="shared" si="45"/>
        <v>666.66666666666663</v>
      </c>
      <c r="Z71" s="140">
        <f t="shared" si="45"/>
        <v>666.66666666666663</v>
      </c>
      <c r="AA71" s="140">
        <f t="shared" si="45"/>
        <v>666.66666666666663</v>
      </c>
    </row>
    <row r="72" spans="1:27" x14ac:dyDescent="0.2">
      <c r="A72" s="1"/>
      <c r="B72" s="1"/>
      <c r="C72" s="1" t="s">
        <v>136</v>
      </c>
      <c r="D72" s="1"/>
      <c r="E72" s="53">
        <f t="shared" ref="E72:J72" si="46">SUM(E60:E71)</f>
        <v>29453.49</v>
      </c>
      <c r="F72" s="53">
        <f t="shared" si="46"/>
        <v>1164.9399999999998</v>
      </c>
      <c r="G72" s="53">
        <f t="shared" si="46"/>
        <v>2711.8</v>
      </c>
      <c r="H72" s="53">
        <f t="shared" si="46"/>
        <v>4426</v>
      </c>
      <c r="I72" s="53">
        <f t="shared" si="46"/>
        <v>37756.229999999996</v>
      </c>
      <c r="J72" s="84">
        <f t="shared" si="46"/>
        <v>49400</v>
      </c>
      <c r="K72" s="24">
        <f t="shared" si="37"/>
        <v>11643.770000000004</v>
      </c>
      <c r="L72" s="76">
        <f>SUM(L60:L71)</f>
        <v>52008</v>
      </c>
      <c r="M72" s="84">
        <f>SUM(M60:M71)</f>
        <v>29403.333333333328</v>
      </c>
      <c r="N72" s="53">
        <f>SUM(N60:N71)</f>
        <v>6400.666666666667</v>
      </c>
      <c r="O72" s="53">
        <f t="shared" ref="O72:AA72" si="47">SUM(O60:O71)</f>
        <v>6400.666666666667</v>
      </c>
      <c r="P72" s="53">
        <f t="shared" si="47"/>
        <v>6100.666666666667</v>
      </c>
      <c r="Q72" s="53">
        <f t="shared" si="47"/>
        <v>6100.666666666667</v>
      </c>
      <c r="R72" s="53">
        <f t="shared" si="47"/>
        <v>4400.6666666666661</v>
      </c>
      <c r="S72" s="53"/>
      <c r="T72" s="53">
        <f>SUM(T60:T71)</f>
        <v>244.51</v>
      </c>
      <c r="U72" s="53">
        <f>SUM(U60:U71)</f>
        <v>2387.5</v>
      </c>
      <c r="V72" s="53">
        <f t="shared" si="47"/>
        <v>2587.5</v>
      </c>
      <c r="W72" s="53">
        <f t="shared" si="47"/>
        <v>2587.5</v>
      </c>
      <c r="X72" s="53">
        <f t="shared" si="47"/>
        <v>2587.5</v>
      </c>
      <c r="Y72" s="53">
        <f t="shared" si="47"/>
        <v>2587.5</v>
      </c>
      <c r="Z72" s="53">
        <f t="shared" si="47"/>
        <v>2462.5</v>
      </c>
      <c r="AA72" s="53">
        <f t="shared" si="47"/>
        <v>3900.6666666666661</v>
      </c>
    </row>
    <row r="73" spans="1:27" x14ac:dyDescent="0.2">
      <c r="A73" s="1"/>
      <c r="B73" s="1"/>
      <c r="C73" s="1"/>
      <c r="D73" s="1"/>
      <c r="E73" s="53"/>
      <c r="F73" s="53"/>
      <c r="G73" s="53"/>
      <c r="H73" s="53"/>
      <c r="I73" s="53">
        <f>+E73+F73+G73+H73</f>
        <v>0</v>
      </c>
      <c r="J73" s="84"/>
      <c r="K73" s="24"/>
      <c r="L73" s="76"/>
      <c r="M73" s="84"/>
    </row>
    <row r="74" spans="1:27" ht="18.75" customHeight="1" x14ac:dyDescent="0.2">
      <c r="A74" s="1"/>
      <c r="B74" s="1" t="s">
        <v>138</v>
      </c>
      <c r="C74" s="1" t="s">
        <v>387</v>
      </c>
      <c r="D74" s="1"/>
      <c r="E74" s="53" t="e">
        <f>+E72+E58+E42+E27+#REF!+E49</f>
        <v>#REF!</v>
      </c>
      <c r="F74" s="53" t="e">
        <f>+F72+F58+F42+F27+#REF!+F49</f>
        <v>#REF!</v>
      </c>
      <c r="G74" s="53" t="e">
        <f>+G72+G58+G42+G27+#REF!+G49</f>
        <v>#REF!</v>
      </c>
      <c r="H74" s="53" t="e">
        <f>+H72+H58+H42+H27+#REF!+H49</f>
        <v>#REF!</v>
      </c>
      <c r="I74" s="53" t="e">
        <f>+I72+I58+I42+I27+#REF!+I49</f>
        <v>#REF!</v>
      </c>
      <c r="J74" s="84">
        <f>+J27+J42+J49+J58+J72</f>
        <v>368360</v>
      </c>
      <c r="K74" s="24" t="e">
        <f>+J74-I74</f>
        <v>#REF!</v>
      </c>
      <c r="L74" s="76" t="e">
        <f>+L27+L42+L49+L58+L72+#REF!</f>
        <v>#REF!</v>
      </c>
      <c r="M74" s="84" t="e">
        <f>+M27+M42+M49+M58+M72+#REF!</f>
        <v>#REF!</v>
      </c>
      <c r="N74" s="54" t="e">
        <f>+N27+N42+N49+N58+N72+#REF!</f>
        <v>#REF!</v>
      </c>
      <c r="O74" s="54" t="e">
        <f>+O27+O42+O49+O58+O72+#REF!</f>
        <v>#REF!</v>
      </c>
      <c r="P74" s="54" t="e">
        <f>+P27+P42+P49+P58+P72+#REF!</f>
        <v>#REF!</v>
      </c>
      <c r="Q74" s="54" t="e">
        <f>+Q27+Q42+Q49+Q58+Q72+#REF!</f>
        <v>#REF!</v>
      </c>
      <c r="R74" s="54" t="e">
        <f>+R27+R42+R49+R58+R72+#REF!</f>
        <v>#REF!</v>
      </c>
      <c r="S74" s="54"/>
      <c r="T74" s="54">
        <f t="shared" ref="T74:AA74" si="48">+T27+T42+T49+T58+T72</f>
        <v>384.51</v>
      </c>
      <c r="U74" s="54">
        <f t="shared" si="48"/>
        <v>26058.176666666666</v>
      </c>
      <c r="V74" s="54">
        <f t="shared" si="48"/>
        <v>23418.576666666668</v>
      </c>
      <c r="W74" s="54">
        <f t="shared" si="48"/>
        <v>21418.576666666668</v>
      </c>
      <c r="X74" s="54">
        <f t="shared" si="48"/>
        <v>21418.576666666668</v>
      </c>
      <c r="Y74" s="54">
        <f t="shared" si="48"/>
        <v>20918.576666666668</v>
      </c>
      <c r="Z74" s="54">
        <f t="shared" si="48"/>
        <v>22794.576666666668</v>
      </c>
      <c r="AA74" s="54">
        <f t="shared" si="48"/>
        <v>27346.743333333332</v>
      </c>
    </row>
    <row r="75" spans="1:27" ht="15" customHeight="1" x14ac:dyDescent="0.2">
      <c r="A75" s="1"/>
      <c r="B75" s="1"/>
      <c r="C75" s="1"/>
      <c r="D75" s="1"/>
      <c r="E75" s="53"/>
      <c r="F75" s="53"/>
      <c r="G75" s="53"/>
      <c r="H75" s="53"/>
      <c r="I75" s="53">
        <f>+E75+F75+G75+H75</f>
        <v>0</v>
      </c>
      <c r="J75" s="84"/>
      <c r="K75" s="24">
        <f>+I75-J75</f>
        <v>0</v>
      </c>
      <c r="L75" s="76"/>
      <c r="M75" s="84"/>
    </row>
    <row r="76" spans="1:27" x14ac:dyDescent="0.2">
      <c r="C76" s="3" t="s">
        <v>388</v>
      </c>
      <c r="E76" s="53"/>
      <c r="F76" s="53"/>
      <c r="G76" s="53"/>
      <c r="H76" s="53"/>
      <c r="I76" s="53"/>
      <c r="J76" s="84"/>
      <c r="K76" s="24">
        <f>+I76-J76</f>
        <v>0</v>
      </c>
      <c r="L76" s="76"/>
      <c r="M76" s="84"/>
      <c r="T76" s="53">
        <f>18135.06-140-159.77-84.74-594.61</f>
        <v>17155.939999999999</v>
      </c>
      <c r="U76" s="53"/>
    </row>
    <row r="77" spans="1:27" hidden="1" x14ac:dyDescent="0.2">
      <c r="E77" s="53">
        <f>+'[1]Income Statement'!H85</f>
        <v>-15080.75</v>
      </c>
      <c r="F77" s="53">
        <v>4554.92</v>
      </c>
      <c r="G77" s="53"/>
      <c r="H77" s="53"/>
      <c r="I77" s="53"/>
      <c r="J77" s="84">
        <v>24351.919999999998</v>
      </c>
      <c r="K77" s="24"/>
      <c r="L77" s="76"/>
      <c r="M77" s="76"/>
    </row>
    <row r="78" spans="1:27" hidden="1" x14ac:dyDescent="0.2">
      <c r="E78" s="53" t="e">
        <f>+E77-#REF!</f>
        <v>#REF!</v>
      </c>
      <c r="F78" s="53" t="e">
        <f>+F77-#REF!</f>
        <v>#REF!</v>
      </c>
      <c r="G78" s="53"/>
      <c r="H78" s="53"/>
      <c r="I78" s="53"/>
      <c r="J78" s="53" t="e">
        <f>+J77-#REF!</f>
        <v>#REF!</v>
      </c>
      <c r="K78" s="54"/>
      <c r="L78" s="53"/>
      <c r="M78" s="53"/>
    </row>
    <row r="79" spans="1:27" x14ac:dyDescent="0.2">
      <c r="E79" s="53"/>
      <c r="F79" s="53"/>
      <c r="G79" s="53"/>
      <c r="H79" s="53"/>
      <c r="I79" s="53"/>
      <c r="J79" s="53"/>
      <c r="K79" s="54"/>
      <c r="L79" s="53"/>
      <c r="M79" s="53"/>
    </row>
    <row r="80" spans="1:27" ht="16" thickBot="1" x14ac:dyDescent="0.25">
      <c r="D80" s="127" t="s">
        <v>389</v>
      </c>
      <c r="E80" s="128"/>
      <c r="F80" s="128"/>
      <c r="G80" s="128"/>
      <c r="H80" s="128"/>
      <c r="I80" s="128"/>
      <c r="J80" s="128"/>
      <c r="K80" s="129"/>
      <c r="L80" s="128"/>
      <c r="M80" s="128"/>
      <c r="N80" s="130"/>
      <c r="O80" s="131"/>
      <c r="P80" s="131"/>
      <c r="Q80" s="131"/>
      <c r="R80" s="131"/>
      <c r="S80" s="134">
        <v>16765.13</v>
      </c>
      <c r="T80" s="132">
        <f t="shared" ref="T80:AA80" si="49">+S80+T7-T74-T76</f>
        <v>13474.680000000004</v>
      </c>
      <c r="U80" s="132">
        <f t="shared" si="49"/>
        <v>-12583.496666666662</v>
      </c>
      <c r="V80" s="132">
        <f t="shared" si="49"/>
        <v>48395.906666666669</v>
      </c>
      <c r="W80" s="132">
        <f t="shared" si="49"/>
        <v>26977.33</v>
      </c>
      <c r="X80" s="132">
        <f t="shared" si="49"/>
        <v>5558.753333333334</v>
      </c>
      <c r="Y80" s="132">
        <f t="shared" si="49"/>
        <v>83288.156666666677</v>
      </c>
      <c r="Z80" s="132">
        <f t="shared" si="49"/>
        <v>60493.580000000009</v>
      </c>
      <c r="AA80" s="132">
        <f t="shared" si="49"/>
        <v>33146.836666666677</v>
      </c>
    </row>
    <row r="81" spans="20:22" ht="16" thickTop="1" x14ac:dyDescent="0.2">
      <c r="T81" s="53"/>
    </row>
    <row r="82" spans="20:22" x14ac:dyDescent="0.2">
      <c r="T82" s="53"/>
      <c r="U82" s="53"/>
    </row>
    <row r="83" spans="20:22" x14ac:dyDescent="0.2">
      <c r="T83" s="53"/>
      <c r="U83" s="53"/>
    </row>
    <row r="85" spans="20:22" x14ac:dyDescent="0.2">
      <c r="T85" s="8"/>
    </row>
    <row r="87" spans="20:22" x14ac:dyDescent="0.2">
      <c r="V87" s="8"/>
    </row>
    <row r="109" spans="1:23" s="9" customFormat="1" x14ac:dyDescent="0.2">
      <c r="A109" s="3"/>
      <c r="B109" s="3"/>
      <c r="C109" s="3"/>
      <c r="D109" s="3"/>
      <c r="K109" s="54"/>
      <c r="N109" s="53"/>
      <c r="O109"/>
      <c r="P109"/>
      <c r="Q109"/>
      <c r="R109"/>
      <c r="S109"/>
      <c r="T109"/>
      <c r="U109"/>
      <c r="V109"/>
      <c r="W109"/>
    </row>
    <row r="110" spans="1:23" s="9" customFormat="1" x14ac:dyDescent="0.2">
      <c r="A110" s="3"/>
      <c r="B110" s="3"/>
      <c r="C110" s="3"/>
      <c r="D110" s="3"/>
      <c r="K110" s="54"/>
      <c r="N110" s="53"/>
      <c r="O110"/>
      <c r="P110"/>
      <c r="Q110"/>
      <c r="R110"/>
      <c r="S110"/>
      <c r="T110"/>
      <c r="U110"/>
      <c r="V110"/>
      <c r="W110"/>
    </row>
    <row r="111" spans="1:23" s="9" customFormat="1" x14ac:dyDescent="0.2">
      <c r="A111" s="3"/>
      <c r="B111" s="3"/>
      <c r="C111" s="3"/>
      <c r="D111" s="3"/>
      <c r="K111" s="54"/>
      <c r="N111" s="53"/>
      <c r="O111"/>
      <c r="P111"/>
      <c r="Q111"/>
      <c r="R111"/>
      <c r="S111"/>
      <c r="T111"/>
      <c r="U111"/>
      <c r="V111"/>
      <c r="W111"/>
    </row>
  </sheetData>
  <mergeCells count="4">
    <mergeCell ref="A6:D6"/>
    <mergeCell ref="A14:D14"/>
    <mergeCell ref="A1:AA1"/>
    <mergeCell ref="A2:AA2"/>
  </mergeCells>
  <pageMargins left="0.7" right="0.7" top="0.75" bottom="0.75" header="0.3" footer="0.3"/>
  <pageSetup scale="71" fitToHeight="2" orientation="landscape" r:id="rId1"/>
  <rowBreaks count="1" manualBreakCount="1">
    <brk id="4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"/>
  <sheetViews>
    <sheetView topLeftCell="A10" workbookViewId="0">
      <selection activeCell="M21" sqref="M21"/>
    </sheetView>
  </sheetViews>
  <sheetFormatPr baseColWidth="10" defaultColWidth="8.83203125" defaultRowHeight="15" x14ac:dyDescent="0.2"/>
  <cols>
    <col min="1" max="1" width="32.83203125" bestFit="1" customWidth="1"/>
    <col min="3" max="3" width="12.1640625" customWidth="1"/>
    <col min="4" max="4" width="14" customWidth="1"/>
    <col min="5" max="5" width="11" customWidth="1"/>
    <col min="6" max="6" width="9.6640625" customWidth="1"/>
    <col min="7" max="7" width="10.5" customWidth="1"/>
    <col min="8" max="8" width="11.5" customWidth="1"/>
    <col min="9" max="9" width="10.5" customWidth="1"/>
    <col min="10" max="10" width="11.1640625" customWidth="1"/>
    <col min="11" max="11" width="11.5" customWidth="1"/>
  </cols>
  <sheetData>
    <row r="1" spans="1:14" ht="48" x14ac:dyDescent="0.2">
      <c r="A1" t="s">
        <v>243</v>
      </c>
      <c r="B1" t="s">
        <v>390</v>
      </c>
      <c r="C1" s="194" t="s">
        <v>391</v>
      </c>
      <c r="D1" s="194" t="s">
        <v>392</v>
      </c>
      <c r="E1" s="194" t="s">
        <v>393</v>
      </c>
      <c r="F1" s="194" t="s">
        <v>394</v>
      </c>
      <c r="G1" s="194" t="s">
        <v>395</v>
      </c>
      <c r="H1" s="194" t="s">
        <v>396</v>
      </c>
      <c r="I1" s="194" t="s">
        <v>397</v>
      </c>
      <c r="J1" s="194" t="s">
        <v>395</v>
      </c>
      <c r="K1" s="194" t="s">
        <v>398</v>
      </c>
      <c r="L1" s="57"/>
    </row>
    <row r="2" spans="1:14" ht="16" x14ac:dyDescent="0.2">
      <c r="C2" s="194" t="s">
        <v>399</v>
      </c>
      <c r="D2" s="194" t="s">
        <v>400</v>
      </c>
      <c r="E2" s="194" t="s">
        <v>401</v>
      </c>
      <c r="F2" s="194" t="s">
        <v>402</v>
      </c>
      <c r="G2" s="194" t="s">
        <v>403</v>
      </c>
      <c r="H2" s="194" t="s">
        <v>404</v>
      </c>
      <c r="I2" s="194" t="s">
        <v>405</v>
      </c>
      <c r="J2" s="194" t="s">
        <v>406</v>
      </c>
      <c r="K2" s="194" t="s">
        <v>407</v>
      </c>
      <c r="L2" s="57"/>
    </row>
    <row r="3" spans="1:14" ht="48" x14ac:dyDescent="0.2">
      <c r="A3" s="107"/>
      <c r="B3" s="107"/>
      <c r="C3" s="198" t="s">
        <v>408</v>
      </c>
      <c r="D3" s="199" t="s">
        <v>409</v>
      </c>
      <c r="E3" s="198" t="s">
        <v>410</v>
      </c>
      <c r="F3" s="198"/>
      <c r="G3" s="198"/>
      <c r="H3" s="198" t="s">
        <v>411</v>
      </c>
      <c r="I3" s="198"/>
      <c r="J3" s="198"/>
      <c r="K3" s="198" t="s">
        <v>412</v>
      </c>
    </row>
    <row r="4" spans="1:14" x14ac:dyDescent="0.2">
      <c r="A4" s="149" t="s">
        <v>252</v>
      </c>
      <c r="B4" s="5" t="s">
        <v>413</v>
      </c>
      <c r="C4" s="8">
        <f>D4/2</f>
        <v>2942.5678749999997</v>
      </c>
      <c r="D4" s="8">
        <f>E4*0.83</f>
        <v>5885.1357499999995</v>
      </c>
      <c r="E4" s="196">
        <f>H4+K4</f>
        <v>7090.5249999999996</v>
      </c>
      <c r="F4" s="196">
        <v>1905</v>
      </c>
      <c r="G4" s="196">
        <v>3</v>
      </c>
      <c r="H4" s="196">
        <f t="shared" ref="H4:H27" si="0">F4*G4</f>
        <v>5715</v>
      </c>
      <c r="I4" s="14">
        <v>550.21</v>
      </c>
      <c r="J4">
        <v>2.5</v>
      </c>
      <c r="K4" s="8">
        <f>I4*J4</f>
        <v>1375.5250000000001</v>
      </c>
      <c r="N4" s="196"/>
    </row>
    <row r="5" spans="1:14" x14ac:dyDescent="0.2">
      <c r="A5" s="149" t="s">
        <v>414</v>
      </c>
      <c r="B5" s="5">
        <v>4</v>
      </c>
      <c r="C5" s="8">
        <f t="shared" ref="C5:C27" si="1">D5/2</f>
        <v>2255.7428749999999</v>
      </c>
      <c r="D5" s="8">
        <f t="shared" ref="D5:D27" si="2">E5*0.83</f>
        <v>4511.4857499999998</v>
      </c>
      <c r="E5" s="196">
        <f t="shared" ref="E5:E27" si="3">H5+K5</f>
        <v>5435.5249999999996</v>
      </c>
      <c r="F5" s="196">
        <v>812</v>
      </c>
      <c r="G5" s="196">
        <v>5</v>
      </c>
      <c r="H5" s="196">
        <f t="shared" si="0"/>
        <v>4060</v>
      </c>
      <c r="I5" s="14">
        <v>550.21</v>
      </c>
      <c r="J5">
        <v>2.5</v>
      </c>
      <c r="K5" s="8">
        <f t="shared" ref="K5:K27" si="4">I5*J5</f>
        <v>1375.5250000000001</v>
      </c>
      <c r="N5" s="196"/>
    </row>
    <row r="6" spans="1:14" x14ac:dyDescent="0.2">
      <c r="A6" s="149" t="s">
        <v>254</v>
      </c>
      <c r="B6" s="5">
        <v>9</v>
      </c>
      <c r="C6" s="8">
        <f t="shared" si="1"/>
        <v>2037.8678749999997</v>
      </c>
      <c r="D6" s="8">
        <f t="shared" si="2"/>
        <v>4075.7357499999994</v>
      </c>
      <c r="E6" s="196">
        <f t="shared" si="3"/>
        <v>4910.5249999999996</v>
      </c>
      <c r="F6" s="196">
        <v>707</v>
      </c>
      <c r="G6" s="196">
        <v>5</v>
      </c>
      <c r="H6" s="196">
        <f t="shared" si="0"/>
        <v>3535</v>
      </c>
      <c r="I6" s="14">
        <v>550.21</v>
      </c>
      <c r="J6">
        <v>2.5</v>
      </c>
      <c r="K6" s="8">
        <f t="shared" si="4"/>
        <v>1375.5250000000001</v>
      </c>
      <c r="N6" s="196"/>
    </row>
    <row r="7" spans="1:14" x14ac:dyDescent="0.2">
      <c r="A7" s="149" t="s">
        <v>256</v>
      </c>
      <c r="B7" s="5">
        <v>5</v>
      </c>
      <c r="C7" s="8">
        <f t="shared" si="1"/>
        <v>926.08287499999994</v>
      </c>
      <c r="D7" s="8">
        <f t="shared" si="2"/>
        <v>1852.1657499999999</v>
      </c>
      <c r="E7" s="196">
        <f t="shared" si="3"/>
        <v>2231.5250000000001</v>
      </c>
      <c r="F7" s="196">
        <v>428</v>
      </c>
      <c r="G7" s="196">
        <v>2</v>
      </c>
      <c r="H7" s="196">
        <f t="shared" si="0"/>
        <v>856</v>
      </c>
      <c r="I7" s="14">
        <v>550.21</v>
      </c>
      <c r="J7">
        <v>2.5</v>
      </c>
      <c r="K7" s="8">
        <f t="shared" si="4"/>
        <v>1375.5250000000001</v>
      </c>
      <c r="N7" s="196"/>
    </row>
    <row r="8" spans="1:14" x14ac:dyDescent="0.2">
      <c r="A8" s="149" t="s">
        <v>415</v>
      </c>
      <c r="B8" s="5">
        <v>17</v>
      </c>
      <c r="C8" s="8">
        <f t="shared" si="1"/>
        <v>1514.5528749999999</v>
      </c>
      <c r="D8" s="8">
        <f t="shared" si="2"/>
        <v>3029.1057499999997</v>
      </c>
      <c r="E8" s="196">
        <f>H8+K8</f>
        <v>3649.5250000000001</v>
      </c>
      <c r="F8" s="196">
        <v>1137</v>
      </c>
      <c r="G8" s="196">
        <v>2</v>
      </c>
      <c r="H8" s="196">
        <f>F8*G8</f>
        <v>2274</v>
      </c>
      <c r="I8" s="14">
        <v>550.21</v>
      </c>
      <c r="J8">
        <v>2.5</v>
      </c>
      <c r="K8" s="8">
        <f>I8*J8</f>
        <v>1375.5250000000001</v>
      </c>
      <c r="N8" s="196"/>
    </row>
    <row r="9" spans="1:14" x14ac:dyDescent="0.2">
      <c r="A9" s="149" t="s">
        <v>258</v>
      </c>
      <c r="B9" s="5">
        <v>19</v>
      </c>
      <c r="C9" s="8">
        <f t="shared" si="1"/>
        <v>1832.4428749999997</v>
      </c>
      <c r="D9" s="8">
        <f t="shared" si="2"/>
        <v>3664.8857499999995</v>
      </c>
      <c r="E9" s="196">
        <f t="shared" si="3"/>
        <v>4415.5249999999996</v>
      </c>
      <c r="F9" s="196">
        <v>760</v>
      </c>
      <c r="G9" s="196">
        <v>4</v>
      </c>
      <c r="H9" s="196">
        <f t="shared" si="0"/>
        <v>3040</v>
      </c>
      <c r="I9" s="14">
        <v>550.21</v>
      </c>
      <c r="J9">
        <v>2.5</v>
      </c>
      <c r="K9" s="8">
        <f t="shared" si="4"/>
        <v>1375.5250000000001</v>
      </c>
      <c r="N9" s="196"/>
    </row>
    <row r="10" spans="1:14" x14ac:dyDescent="0.2">
      <c r="A10" s="149" t="s">
        <v>416</v>
      </c>
      <c r="B10" s="5">
        <v>6</v>
      </c>
      <c r="C10" s="8">
        <f t="shared" si="1"/>
        <v>2036.2078749999998</v>
      </c>
      <c r="D10" s="8">
        <f t="shared" si="2"/>
        <v>4072.4157499999997</v>
      </c>
      <c r="E10" s="196">
        <f t="shared" si="3"/>
        <v>4906.5249999999996</v>
      </c>
      <c r="F10" s="196">
        <v>1177</v>
      </c>
      <c r="G10" s="196">
        <v>3</v>
      </c>
      <c r="H10" s="196">
        <f t="shared" si="0"/>
        <v>3531</v>
      </c>
      <c r="I10" s="14">
        <v>550.21</v>
      </c>
      <c r="J10">
        <v>2.5</v>
      </c>
      <c r="K10" s="8">
        <f t="shared" si="4"/>
        <v>1375.5250000000001</v>
      </c>
      <c r="N10" s="196"/>
    </row>
    <row r="11" spans="1:14" x14ac:dyDescent="0.2">
      <c r="A11" s="149" t="s">
        <v>417</v>
      </c>
      <c r="B11" s="5">
        <v>7</v>
      </c>
      <c r="C11" s="8">
        <f t="shared" si="1"/>
        <v>2093.0628749999996</v>
      </c>
      <c r="D11" s="8">
        <f t="shared" si="2"/>
        <v>4186.1257499999992</v>
      </c>
      <c r="E11" s="196">
        <f t="shared" si="3"/>
        <v>5043.5249999999996</v>
      </c>
      <c r="F11" s="196">
        <v>1834</v>
      </c>
      <c r="G11" s="196">
        <v>2</v>
      </c>
      <c r="H11" s="196">
        <f t="shared" si="0"/>
        <v>3668</v>
      </c>
      <c r="I11" s="14">
        <v>550.21</v>
      </c>
      <c r="J11">
        <v>2.5</v>
      </c>
      <c r="K11" s="8">
        <f t="shared" si="4"/>
        <v>1375.5250000000001</v>
      </c>
      <c r="N11" s="196"/>
    </row>
    <row r="12" spans="1:14" x14ac:dyDescent="0.2">
      <c r="A12" s="149" t="s">
        <v>260</v>
      </c>
      <c r="B12" s="5" t="s">
        <v>418</v>
      </c>
      <c r="C12" s="8">
        <f t="shared" si="1"/>
        <v>570.84287500000005</v>
      </c>
      <c r="D12" s="8">
        <f t="shared" si="2"/>
        <v>1141.6857500000001</v>
      </c>
      <c r="E12" s="196">
        <f t="shared" si="3"/>
        <v>1375.5250000000001</v>
      </c>
      <c r="F12" s="196">
        <v>0</v>
      </c>
      <c r="G12" s="196">
        <v>1</v>
      </c>
      <c r="H12" s="196">
        <f t="shared" si="0"/>
        <v>0</v>
      </c>
      <c r="I12" s="14">
        <v>550.21</v>
      </c>
      <c r="J12">
        <v>2.5</v>
      </c>
      <c r="K12" s="8">
        <f t="shared" si="4"/>
        <v>1375.5250000000001</v>
      </c>
      <c r="N12" s="196"/>
    </row>
    <row r="13" spans="1:14" x14ac:dyDescent="0.2">
      <c r="A13" s="149" t="s">
        <v>419</v>
      </c>
      <c r="B13" s="5" t="s">
        <v>420</v>
      </c>
      <c r="C13" s="8">
        <f t="shared" si="1"/>
        <v>1107.852875</v>
      </c>
      <c r="D13" s="8">
        <f t="shared" si="2"/>
        <v>2215.7057500000001</v>
      </c>
      <c r="E13" s="196">
        <f t="shared" si="3"/>
        <v>2669.5250000000001</v>
      </c>
      <c r="F13" s="196">
        <v>1294</v>
      </c>
      <c r="G13" s="196">
        <v>1</v>
      </c>
      <c r="H13" s="196">
        <f t="shared" si="0"/>
        <v>1294</v>
      </c>
      <c r="I13" s="14">
        <v>550.21</v>
      </c>
      <c r="J13">
        <v>2.5</v>
      </c>
      <c r="K13" s="8">
        <f t="shared" si="4"/>
        <v>1375.5250000000001</v>
      </c>
      <c r="N13" s="196"/>
    </row>
    <row r="14" spans="1:14" x14ac:dyDescent="0.2">
      <c r="A14" s="149" t="s">
        <v>262</v>
      </c>
      <c r="B14" s="5">
        <v>10</v>
      </c>
      <c r="C14" s="8">
        <f t="shared" si="1"/>
        <v>1512.892875</v>
      </c>
      <c r="D14" s="8">
        <f t="shared" si="2"/>
        <v>3025.78575</v>
      </c>
      <c r="E14" s="196">
        <f t="shared" si="3"/>
        <v>3645.5250000000001</v>
      </c>
      <c r="F14" s="196">
        <v>454</v>
      </c>
      <c r="G14" s="196">
        <v>5</v>
      </c>
      <c r="H14" s="196">
        <f t="shared" si="0"/>
        <v>2270</v>
      </c>
      <c r="I14" s="14">
        <v>550.21</v>
      </c>
      <c r="J14">
        <v>2.5</v>
      </c>
      <c r="K14" s="8">
        <f t="shared" si="4"/>
        <v>1375.5250000000001</v>
      </c>
      <c r="N14" s="196"/>
    </row>
    <row r="15" spans="1:14" x14ac:dyDescent="0.2">
      <c r="A15" s="149" t="s">
        <v>255</v>
      </c>
      <c r="B15" s="5">
        <v>1</v>
      </c>
      <c r="C15" s="8">
        <f t="shared" si="1"/>
        <v>1525.757875</v>
      </c>
      <c r="D15" s="8">
        <f t="shared" si="2"/>
        <v>3051.51575</v>
      </c>
      <c r="E15" s="196">
        <f t="shared" si="3"/>
        <v>3676.5250000000001</v>
      </c>
      <c r="F15" s="196">
        <v>767</v>
      </c>
      <c r="G15" s="196">
        <v>3</v>
      </c>
      <c r="H15" s="196">
        <f t="shared" si="0"/>
        <v>2301</v>
      </c>
      <c r="I15" s="14">
        <v>550.21</v>
      </c>
      <c r="J15">
        <v>2.5</v>
      </c>
      <c r="K15" s="8">
        <f t="shared" si="4"/>
        <v>1375.5250000000001</v>
      </c>
      <c r="N15" s="196"/>
    </row>
    <row r="16" spans="1:14" x14ac:dyDescent="0.2">
      <c r="A16" s="149" t="s">
        <v>421</v>
      </c>
      <c r="B16" s="5">
        <v>14</v>
      </c>
      <c r="C16" s="8">
        <f t="shared" si="1"/>
        <v>743.897875</v>
      </c>
      <c r="D16" s="8">
        <f t="shared" si="2"/>
        <v>1487.79575</v>
      </c>
      <c r="E16" s="196">
        <f t="shared" si="3"/>
        <v>1792.5250000000001</v>
      </c>
      <c r="F16" s="196">
        <v>417</v>
      </c>
      <c r="G16" s="196">
        <v>1</v>
      </c>
      <c r="H16" s="196">
        <f t="shared" si="0"/>
        <v>417</v>
      </c>
      <c r="I16" s="14">
        <v>550.21</v>
      </c>
      <c r="J16">
        <v>2.5</v>
      </c>
      <c r="K16" s="8">
        <f t="shared" si="4"/>
        <v>1375.5250000000001</v>
      </c>
      <c r="N16" s="196"/>
    </row>
    <row r="17" spans="1:14" x14ac:dyDescent="0.2">
      <c r="A17" s="149" t="s">
        <v>264</v>
      </c>
      <c r="B17" s="5" t="s">
        <v>422</v>
      </c>
      <c r="C17" s="8">
        <f t="shared" si="1"/>
        <v>617.32287499999995</v>
      </c>
      <c r="D17" s="8">
        <f t="shared" si="2"/>
        <v>1234.6457499999999</v>
      </c>
      <c r="E17" s="196">
        <f t="shared" si="3"/>
        <v>1487.5250000000001</v>
      </c>
      <c r="F17" s="196">
        <v>112</v>
      </c>
      <c r="G17" s="196">
        <v>1</v>
      </c>
      <c r="H17" s="196">
        <f t="shared" si="0"/>
        <v>112</v>
      </c>
      <c r="I17" s="14">
        <v>550.21</v>
      </c>
      <c r="J17">
        <v>2.5</v>
      </c>
      <c r="K17" s="8">
        <f t="shared" si="4"/>
        <v>1375.5250000000001</v>
      </c>
      <c r="N17" s="196"/>
    </row>
    <row r="18" spans="1:14" x14ac:dyDescent="0.2">
      <c r="A18" s="149" t="s">
        <v>423</v>
      </c>
      <c r="B18" s="5">
        <v>16</v>
      </c>
      <c r="C18" s="8">
        <f t="shared" si="1"/>
        <v>1027.342875</v>
      </c>
      <c r="D18" s="8">
        <f t="shared" si="2"/>
        <v>2054.6857500000001</v>
      </c>
      <c r="E18" s="196">
        <f t="shared" si="3"/>
        <v>2475.5250000000001</v>
      </c>
      <c r="F18" s="196">
        <v>550</v>
      </c>
      <c r="G18" s="196">
        <v>2</v>
      </c>
      <c r="H18" s="196">
        <f t="shared" si="0"/>
        <v>1100</v>
      </c>
      <c r="I18" s="14">
        <v>550.21</v>
      </c>
      <c r="J18">
        <v>2.5</v>
      </c>
      <c r="K18" s="8">
        <f t="shared" si="4"/>
        <v>1375.5250000000001</v>
      </c>
      <c r="N18" s="196"/>
    </row>
    <row r="19" spans="1:14" x14ac:dyDescent="0.2">
      <c r="A19" s="149" t="s">
        <v>267</v>
      </c>
      <c r="B19" s="5">
        <v>11</v>
      </c>
      <c r="C19" s="8">
        <f t="shared" si="1"/>
        <v>1779.3228749999998</v>
      </c>
      <c r="D19" s="8">
        <f t="shared" si="2"/>
        <v>3558.6457499999997</v>
      </c>
      <c r="E19" s="196">
        <f t="shared" si="3"/>
        <v>4287.5249999999996</v>
      </c>
      <c r="F19" s="196">
        <v>1456</v>
      </c>
      <c r="G19" s="196">
        <v>2</v>
      </c>
      <c r="H19" s="196">
        <f t="shared" si="0"/>
        <v>2912</v>
      </c>
      <c r="I19" s="14">
        <v>550.21</v>
      </c>
      <c r="J19">
        <v>2.5</v>
      </c>
      <c r="K19" s="8">
        <f t="shared" si="4"/>
        <v>1375.5250000000001</v>
      </c>
      <c r="N19" s="196"/>
    </row>
    <row r="20" spans="1:14" x14ac:dyDescent="0.2">
      <c r="A20" s="149" t="s">
        <v>268</v>
      </c>
      <c r="B20" s="5">
        <v>20</v>
      </c>
      <c r="C20" s="8">
        <f t="shared" si="1"/>
        <v>1355.192875</v>
      </c>
      <c r="D20" s="8">
        <f t="shared" si="2"/>
        <v>2710.3857499999999</v>
      </c>
      <c r="E20" s="196">
        <f t="shared" si="3"/>
        <v>3265.5250000000001</v>
      </c>
      <c r="F20" s="196">
        <v>630</v>
      </c>
      <c r="G20" s="196">
        <v>3</v>
      </c>
      <c r="H20" s="196">
        <f t="shared" si="0"/>
        <v>1890</v>
      </c>
      <c r="I20" s="14">
        <v>550.21</v>
      </c>
      <c r="J20">
        <v>2.5</v>
      </c>
      <c r="K20" s="8">
        <f t="shared" si="4"/>
        <v>1375.5250000000001</v>
      </c>
      <c r="N20" s="196"/>
    </row>
    <row r="21" spans="1:14" x14ac:dyDescent="0.2">
      <c r="A21" s="149" t="s">
        <v>269</v>
      </c>
      <c r="B21" s="5">
        <v>12</v>
      </c>
      <c r="C21" s="8">
        <f t="shared" si="1"/>
        <v>1271.777875</v>
      </c>
      <c r="D21" s="8">
        <f t="shared" si="2"/>
        <v>2543.55575</v>
      </c>
      <c r="E21" s="196">
        <f t="shared" si="3"/>
        <v>3064.5250000000001</v>
      </c>
      <c r="F21" s="196">
        <v>563</v>
      </c>
      <c r="G21" s="196">
        <v>3</v>
      </c>
      <c r="H21" s="196">
        <f t="shared" si="0"/>
        <v>1689</v>
      </c>
      <c r="I21" s="14">
        <v>550.21</v>
      </c>
      <c r="J21">
        <v>2.5</v>
      </c>
      <c r="K21" s="8">
        <f t="shared" si="4"/>
        <v>1375.5250000000001</v>
      </c>
      <c r="N21" s="196"/>
    </row>
    <row r="22" spans="1:14" x14ac:dyDescent="0.2">
      <c r="A22" s="149" t="s">
        <v>270</v>
      </c>
      <c r="B22" s="5">
        <v>3</v>
      </c>
      <c r="C22" s="8">
        <f t="shared" si="1"/>
        <v>1258.912875</v>
      </c>
      <c r="D22" s="8">
        <f t="shared" si="2"/>
        <v>2517.82575</v>
      </c>
      <c r="E22" s="196">
        <f t="shared" si="3"/>
        <v>3033.5250000000001</v>
      </c>
      <c r="F22" s="196">
        <v>829</v>
      </c>
      <c r="G22" s="196">
        <v>2</v>
      </c>
      <c r="H22" s="196">
        <f t="shared" si="0"/>
        <v>1658</v>
      </c>
      <c r="I22" s="14">
        <v>550.21</v>
      </c>
      <c r="J22">
        <v>2.5</v>
      </c>
      <c r="K22" s="8">
        <f t="shared" si="4"/>
        <v>1375.5250000000001</v>
      </c>
      <c r="N22" s="196"/>
    </row>
    <row r="23" spans="1:14" x14ac:dyDescent="0.2">
      <c r="A23" s="149" t="s">
        <v>271</v>
      </c>
      <c r="B23" s="5">
        <v>13</v>
      </c>
      <c r="C23" s="8">
        <f t="shared" si="1"/>
        <v>1014.892875</v>
      </c>
      <c r="D23" s="8">
        <f t="shared" si="2"/>
        <v>2029.78575</v>
      </c>
      <c r="E23" s="196">
        <f t="shared" si="3"/>
        <v>2445.5250000000001</v>
      </c>
      <c r="F23" s="196">
        <v>214</v>
      </c>
      <c r="G23" s="196">
        <v>5</v>
      </c>
      <c r="H23" s="196">
        <f t="shared" si="0"/>
        <v>1070</v>
      </c>
      <c r="I23" s="14">
        <v>550.21</v>
      </c>
      <c r="J23">
        <v>2.5</v>
      </c>
      <c r="K23" s="8">
        <f t="shared" si="4"/>
        <v>1375.5250000000001</v>
      </c>
      <c r="N23" s="196"/>
    </row>
    <row r="24" spans="1:14" x14ac:dyDescent="0.2">
      <c r="A24" s="149" t="s">
        <v>272</v>
      </c>
      <c r="B24" s="5">
        <v>2</v>
      </c>
      <c r="C24" s="8">
        <f t="shared" si="1"/>
        <v>1883.0728749999998</v>
      </c>
      <c r="D24" s="8">
        <f t="shared" si="2"/>
        <v>3766.1457499999997</v>
      </c>
      <c r="E24" s="196">
        <f t="shared" si="3"/>
        <v>4537.5249999999996</v>
      </c>
      <c r="F24" s="196">
        <v>1054</v>
      </c>
      <c r="G24" s="196">
        <v>3</v>
      </c>
      <c r="H24" s="196">
        <f t="shared" si="0"/>
        <v>3162</v>
      </c>
      <c r="I24" s="14">
        <v>550.21</v>
      </c>
      <c r="J24">
        <v>2.5</v>
      </c>
      <c r="K24" s="8">
        <f t="shared" si="4"/>
        <v>1375.5250000000001</v>
      </c>
      <c r="N24" s="196"/>
    </row>
    <row r="25" spans="1:14" x14ac:dyDescent="0.2">
      <c r="A25" s="149" t="s">
        <v>273</v>
      </c>
      <c r="B25" s="5">
        <v>18</v>
      </c>
      <c r="C25" s="8">
        <f t="shared" si="1"/>
        <v>1756.0828749999998</v>
      </c>
      <c r="D25" s="8">
        <f t="shared" si="2"/>
        <v>3512.1657499999997</v>
      </c>
      <c r="E25" s="196">
        <f t="shared" si="3"/>
        <v>4231.5249999999996</v>
      </c>
      <c r="F25" s="196">
        <v>714</v>
      </c>
      <c r="G25" s="196">
        <v>4</v>
      </c>
      <c r="H25" s="196">
        <f t="shared" si="0"/>
        <v>2856</v>
      </c>
      <c r="I25" s="14">
        <v>550.21</v>
      </c>
      <c r="J25">
        <v>2.5</v>
      </c>
      <c r="K25" s="8">
        <f t="shared" si="4"/>
        <v>1375.5250000000001</v>
      </c>
      <c r="N25" s="196"/>
    </row>
    <row r="26" spans="1:14" x14ac:dyDescent="0.2">
      <c r="A26" s="149" t="s">
        <v>274</v>
      </c>
      <c r="B26" s="5">
        <v>8</v>
      </c>
      <c r="C26" s="8">
        <f t="shared" si="1"/>
        <v>1031.4928749999999</v>
      </c>
      <c r="D26" s="8">
        <f t="shared" si="2"/>
        <v>2062.9857499999998</v>
      </c>
      <c r="E26" s="196">
        <f t="shared" si="3"/>
        <v>2485.5250000000001</v>
      </c>
      <c r="F26" s="196">
        <v>370</v>
      </c>
      <c r="G26" s="196">
        <v>3</v>
      </c>
      <c r="H26" s="196">
        <f t="shared" si="0"/>
        <v>1110</v>
      </c>
      <c r="I26" s="14">
        <v>550.21</v>
      </c>
      <c r="J26">
        <v>2.5</v>
      </c>
      <c r="K26" s="8">
        <f t="shared" si="4"/>
        <v>1375.5250000000001</v>
      </c>
      <c r="L26" t="s">
        <v>424</v>
      </c>
      <c r="N26" s="196"/>
    </row>
    <row r="27" spans="1:14" x14ac:dyDescent="0.2">
      <c r="A27" s="149" t="s">
        <v>275</v>
      </c>
      <c r="B27" s="5">
        <v>15</v>
      </c>
      <c r="C27" s="152">
        <f t="shared" si="1"/>
        <v>1105.362875</v>
      </c>
      <c r="D27" s="152">
        <f t="shared" si="2"/>
        <v>2210.7257500000001</v>
      </c>
      <c r="E27" s="197">
        <f t="shared" si="3"/>
        <v>2663.5250000000001</v>
      </c>
      <c r="F27" s="197">
        <v>644</v>
      </c>
      <c r="G27" s="197">
        <v>2</v>
      </c>
      <c r="H27" s="197">
        <f t="shared" si="0"/>
        <v>1288</v>
      </c>
      <c r="I27" s="195">
        <v>550.21</v>
      </c>
      <c r="J27" s="107">
        <v>2.5</v>
      </c>
      <c r="K27" s="152">
        <f t="shared" si="4"/>
        <v>1375.5250000000001</v>
      </c>
      <c r="N27" s="196"/>
    </row>
    <row r="28" spans="1:14" x14ac:dyDescent="0.2">
      <c r="C28" s="8">
        <f>SUM(C4:C27)</f>
        <v>35200.549000000006</v>
      </c>
      <c r="D28" s="8">
        <f>SUM(D4:D27)</f>
        <v>70401.098000000013</v>
      </c>
      <c r="E28" s="196">
        <f>SUM(E4:E27)</f>
        <v>84820.599999999991</v>
      </c>
      <c r="F28" s="196">
        <f>SUM(F4:F27)</f>
        <v>18828</v>
      </c>
      <c r="G28" s="196"/>
      <c r="H28" s="196">
        <f>SUM(H4:H27)</f>
        <v>51808</v>
      </c>
      <c r="I28" s="14">
        <f>SUM(I4:I27)</f>
        <v>13205.039999999994</v>
      </c>
      <c r="K28" s="8">
        <f>SUM(K4:K27)</f>
        <v>33012.600000000013</v>
      </c>
    </row>
    <row r="29" spans="1:14" x14ac:dyDescent="0.2">
      <c r="A29" s="149" t="s">
        <v>425</v>
      </c>
      <c r="C29" s="8">
        <f>C28</f>
        <v>35200.549000000006</v>
      </c>
      <c r="D29" s="8">
        <f>D28</f>
        <v>70401.098000000013</v>
      </c>
      <c r="E29" t="s">
        <v>426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5"/>
  <sheetViews>
    <sheetView zoomScaleNormal="100" workbookViewId="0">
      <pane xSplit="4" ySplit="7" topLeftCell="E60" activePane="bottomRight" state="frozen"/>
      <selection pane="topRight" activeCell="E1" sqref="E1"/>
      <selection pane="bottomLeft" activeCell="A9" sqref="A9"/>
      <selection pane="bottomRight" activeCell="H85" sqref="H85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32.6640625" style="3" customWidth="1"/>
    <col min="5" max="5" width="14.83203125" style="53" customWidth="1"/>
    <col min="6" max="6" width="15.1640625" style="9" customWidth="1"/>
    <col min="7" max="7" width="16.83203125" style="9" customWidth="1"/>
    <col min="8" max="8" width="14.33203125" style="9" customWidth="1"/>
    <col min="9" max="9" width="15.5" style="9" customWidth="1"/>
    <col min="10" max="10" width="16.33203125" style="9" customWidth="1"/>
    <col min="11" max="11" width="18" style="9" customWidth="1"/>
    <col min="12" max="12" width="45" customWidth="1"/>
  </cols>
  <sheetData>
    <row r="1" spans="1:14" ht="20" x14ac:dyDescent="0.2">
      <c r="A1" s="240" t="s">
        <v>68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N1">
        <v>12</v>
      </c>
    </row>
    <row r="2" spans="1:14" ht="21" customHeight="1" x14ac:dyDescent="0.2">
      <c r="A2" s="241" t="s">
        <v>69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4" ht="20" x14ac:dyDescent="0.2">
      <c r="A3" s="241" t="str">
        <f>+'Income Statement'!A4:H4</f>
        <v>FOR THE  FISCAL YEAR ENDING JULY 31, 2023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4" x14ac:dyDescent="0.2">
      <c r="A4" s="2"/>
      <c r="B4" s="1"/>
      <c r="C4" s="1"/>
      <c r="D4" s="1"/>
      <c r="J4" s="27"/>
    </row>
    <row r="5" spans="1:14" x14ac:dyDescent="0.2">
      <c r="A5" s="1"/>
      <c r="B5" s="1"/>
      <c r="C5" s="1"/>
      <c r="D5" s="1"/>
      <c r="E5" s="17" t="e">
        <f>+'Income Statement'!#REF!</f>
        <v>#REF!</v>
      </c>
      <c r="F5" s="17" t="e">
        <f>+'Income Statement'!#REF!</f>
        <v>#REF!</v>
      </c>
      <c r="G5" s="22" t="s">
        <v>9</v>
      </c>
      <c r="H5" s="10" t="s">
        <v>4</v>
      </c>
      <c r="I5" s="10"/>
      <c r="J5" s="22" t="s">
        <v>9</v>
      </c>
      <c r="K5" s="20" t="s">
        <v>70</v>
      </c>
    </row>
    <row r="6" spans="1:14" s="5" customFormat="1" x14ac:dyDescent="0.2">
      <c r="A6" s="4"/>
      <c r="B6" s="4"/>
      <c r="C6" s="4"/>
      <c r="D6" s="4"/>
      <c r="E6" s="21" t="s">
        <v>10</v>
      </c>
      <c r="F6" s="10" t="s">
        <v>71</v>
      </c>
      <c r="G6" s="22" t="s">
        <v>14</v>
      </c>
      <c r="H6" s="21" t="s">
        <v>10</v>
      </c>
      <c r="I6" s="10" t="s">
        <v>72</v>
      </c>
      <c r="J6" s="22" t="s">
        <v>14</v>
      </c>
      <c r="K6" s="10" t="s">
        <v>13</v>
      </c>
      <c r="L6" s="5" t="s">
        <v>73</v>
      </c>
    </row>
    <row r="7" spans="1:14" x14ac:dyDescent="0.2">
      <c r="A7" s="1"/>
      <c r="B7" s="1" t="s">
        <v>16</v>
      </c>
      <c r="C7" s="1"/>
      <c r="D7" s="1"/>
      <c r="G7" s="23"/>
      <c r="J7" s="23"/>
    </row>
    <row r="8" spans="1:14" x14ac:dyDescent="0.2">
      <c r="A8" s="1"/>
      <c r="B8" s="1"/>
      <c r="C8" s="1"/>
      <c r="D8" s="1" t="s">
        <v>74</v>
      </c>
      <c r="E8" s="53" t="e">
        <f>+'Income Statement'!#REF!</f>
        <v>#REF!</v>
      </c>
      <c r="F8" s="53" t="e">
        <f>+'Income Statement'!#REF!</f>
        <v>#REF!</v>
      </c>
      <c r="G8" s="24" t="e">
        <f>+E8-F8</f>
        <v>#REF!</v>
      </c>
      <c r="H8" s="53">
        <f>+'Income Statement'!E10</f>
        <v>216247.86</v>
      </c>
      <c r="I8" s="53" t="e">
        <f>+'Income Statement'!#REF!</f>
        <v>#REF!</v>
      </c>
      <c r="J8" s="24" t="e">
        <f t="shared" ref="J8:J13" si="0">+H8-I8</f>
        <v>#REF!</v>
      </c>
      <c r="K8" s="53" t="e">
        <f>+#REF!</f>
        <v>#REF!</v>
      </c>
      <c r="L8" t="s">
        <v>75</v>
      </c>
    </row>
    <row r="9" spans="1:14" x14ac:dyDescent="0.2">
      <c r="A9" s="1"/>
      <c r="B9" s="1"/>
      <c r="C9" s="1"/>
      <c r="D9" s="1" t="s">
        <v>76</v>
      </c>
      <c r="E9" s="53" t="e">
        <f>+'Income Statement'!#REF!</f>
        <v>#REF!</v>
      </c>
      <c r="F9" s="53" t="e">
        <f>+'Income Statement'!#REF!</f>
        <v>#REF!</v>
      </c>
      <c r="G9" s="24" t="e">
        <f>+E9-F9</f>
        <v>#REF!</v>
      </c>
      <c r="H9" s="53" t="e">
        <f>+'Income Statement'!#REF!</f>
        <v>#REF!</v>
      </c>
      <c r="I9" s="53" t="e">
        <f>+'Income Statement'!#REF!</f>
        <v>#REF!</v>
      </c>
      <c r="J9" s="24" t="e">
        <f t="shared" si="0"/>
        <v>#REF!</v>
      </c>
      <c r="K9" s="53" t="e">
        <f>+#REF!</f>
        <v>#REF!</v>
      </c>
    </row>
    <row r="10" spans="1:14" x14ac:dyDescent="0.2">
      <c r="A10" s="1"/>
      <c r="B10" s="1"/>
      <c r="C10" s="1"/>
      <c r="D10" s="3" t="s">
        <v>77</v>
      </c>
      <c r="E10" s="53" t="e">
        <f>+'Income Statement'!#REF!</f>
        <v>#REF!</v>
      </c>
      <c r="F10" s="53" t="e">
        <f>+'Income Statement'!#REF!</f>
        <v>#REF!</v>
      </c>
      <c r="G10" s="24" t="e">
        <f>+E10-F10</f>
        <v>#REF!</v>
      </c>
      <c r="H10" s="53" t="e">
        <f>+'Income Statement'!#REF!</f>
        <v>#REF!</v>
      </c>
      <c r="I10" s="53" t="e">
        <f>+'Income Statement'!#REF!</f>
        <v>#REF!</v>
      </c>
      <c r="J10" s="24" t="e">
        <f t="shared" si="0"/>
        <v>#REF!</v>
      </c>
      <c r="K10" s="53">
        <v>0</v>
      </c>
    </row>
    <row r="11" spans="1:14" x14ac:dyDescent="0.2">
      <c r="A11" s="1"/>
      <c r="B11" s="1"/>
      <c r="C11" s="1"/>
      <c r="D11" s="3" t="s">
        <v>31</v>
      </c>
      <c r="E11" s="53" t="e">
        <f>+'Income Statement'!#REF!</f>
        <v>#REF!</v>
      </c>
      <c r="F11" s="53" t="e">
        <f>+'Income Statement'!#REF!</f>
        <v>#REF!</v>
      </c>
      <c r="G11" s="24" t="e">
        <f>+E11-F11</f>
        <v>#REF!</v>
      </c>
      <c r="H11" s="53">
        <f>+'Income Statement'!E17</f>
        <v>18.440000000000001</v>
      </c>
      <c r="I11" s="53" t="e">
        <f>+'Income Statement'!#REF!</f>
        <v>#REF!</v>
      </c>
      <c r="J11" s="24" t="e">
        <f t="shared" si="0"/>
        <v>#REF!</v>
      </c>
      <c r="K11" s="53" t="e">
        <f>+'Income Statement'!#REF!</f>
        <v>#REF!</v>
      </c>
    </row>
    <row r="12" spans="1:14" x14ac:dyDescent="0.2">
      <c r="A12" s="1"/>
      <c r="B12" s="1"/>
      <c r="C12" s="1"/>
      <c r="D12" s="1"/>
      <c r="E12" s="140" t="e">
        <f>+'Income Statement'!#REF!</f>
        <v>#REF!</v>
      </c>
      <c r="F12" s="140" t="e">
        <f>+'Income Statement'!#REF!</f>
        <v>#REF!</v>
      </c>
      <c r="G12" s="26"/>
      <c r="H12" s="140"/>
      <c r="I12" s="140" t="e">
        <f>+'Income Statement'!#REF!</f>
        <v>#REF!</v>
      </c>
      <c r="J12" s="26" t="e">
        <f t="shared" si="0"/>
        <v>#REF!</v>
      </c>
      <c r="K12" s="140"/>
    </row>
    <row r="13" spans="1:14" x14ac:dyDescent="0.2">
      <c r="A13" s="1"/>
      <c r="B13" s="1"/>
      <c r="C13" s="1" t="s">
        <v>35</v>
      </c>
      <c r="D13" s="1"/>
      <c r="E13" s="53" t="e">
        <f>SUM(E8:E12)</f>
        <v>#REF!</v>
      </c>
      <c r="F13" s="53" t="e">
        <f>SUM(F8:F12)</f>
        <v>#REF!</v>
      </c>
      <c r="G13" s="24" t="e">
        <f>+E13-F13</f>
        <v>#REF!</v>
      </c>
      <c r="H13" s="53" t="e">
        <f>SUM(H8:H12)</f>
        <v>#REF!</v>
      </c>
      <c r="I13" s="53" t="e">
        <f>SUM(I8:I12)</f>
        <v>#REF!</v>
      </c>
      <c r="J13" s="24" t="e">
        <f t="shared" si="0"/>
        <v>#REF!</v>
      </c>
      <c r="K13" s="53" t="e">
        <f>SUM(K8:K12)</f>
        <v>#REF!</v>
      </c>
      <c r="M13">
        <v>28762.57</v>
      </c>
    </row>
    <row r="14" spans="1:14" ht="18.75" customHeight="1" x14ac:dyDescent="0.2">
      <c r="A14" s="1"/>
      <c r="B14" s="1" t="s">
        <v>78</v>
      </c>
      <c r="C14" s="1"/>
      <c r="D14" s="1"/>
      <c r="F14" s="53"/>
      <c r="G14" s="24"/>
      <c r="H14" s="53"/>
      <c r="I14" s="53"/>
      <c r="J14" s="24"/>
      <c r="K14" s="53"/>
      <c r="M14">
        <v>7.51</v>
      </c>
    </row>
    <row r="15" spans="1:14" ht="23.25" customHeight="1" x14ac:dyDescent="0.2">
      <c r="A15" s="1"/>
      <c r="B15" s="1"/>
      <c r="C15" s="1" t="s">
        <v>79</v>
      </c>
      <c r="D15" s="1"/>
      <c r="F15" s="53"/>
      <c r="G15" s="24"/>
      <c r="H15" s="53"/>
      <c r="I15" s="53"/>
      <c r="J15" s="24"/>
      <c r="K15" s="53"/>
      <c r="M15">
        <f>SUM(M13:M14)</f>
        <v>28770.079999999998</v>
      </c>
    </row>
    <row r="16" spans="1:14" x14ac:dyDescent="0.2">
      <c r="A16" s="1"/>
      <c r="B16" s="1"/>
      <c r="C16" s="1"/>
      <c r="D16" s="1" t="s">
        <v>80</v>
      </c>
      <c r="E16" s="53" t="e">
        <f>+'Income Statement'!#REF!</f>
        <v>#REF!</v>
      </c>
      <c r="F16" s="53" t="e">
        <f>+'Income Statement'!#REF!</f>
        <v>#REF!</v>
      </c>
      <c r="G16" s="24" t="e">
        <f>+F16-E16</f>
        <v>#REF!</v>
      </c>
      <c r="H16" s="53" t="e">
        <f>+'Income Statement'!#REF!</f>
        <v>#REF!</v>
      </c>
      <c r="I16" s="53" t="e">
        <f>+'Income Statement'!#REF!</f>
        <v>#REF!</v>
      </c>
      <c r="J16" s="24" t="e">
        <f t="shared" ref="J16:J25" si="1">+I16-H16</f>
        <v>#REF!</v>
      </c>
      <c r="K16" s="53" t="e">
        <f>+#REF!</f>
        <v>#REF!</v>
      </c>
    </row>
    <row r="17" spans="1:12" x14ac:dyDescent="0.2">
      <c r="A17" s="1"/>
      <c r="B17" s="1"/>
      <c r="C17" s="1"/>
      <c r="D17" s="1" t="s">
        <v>81</v>
      </c>
      <c r="E17" s="53" t="e">
        <f>+'Income Statement'!#REF!</f>
        <v>#REF!</v>
      </c>
      <c r="F17" s="53" t="e">
        <f>+'Income Statement'!#REF!</f>
        <v>#REF!</v>
      </c>
      <c r="G17" s="24" t="e">
        <f t="shared" ref="G17:G69" si="2">+F17-E17</f>
        <v>#REF!</v>
      </c>
      <c r="H17" s="53" t="e">
        <f>+'Income Statement'!#REF!</f>
        <v>#REF!</v>
      </c>
      <c r="I17" s="53" t="e">
        <f>+'Income Statement'!#REF!</f>
        <v>#REF!</v>
      </c>
      <c r="J17" s="24" t="e">
        <f t="shared" si="1"/>
        <v>#REF!</v>
      </c>
      <c r="K17" s="53" t="e">
        <f>+#REF!</f>
        <v>#REF!</v>
      </c>
    </row>
    <row r="18" spans="1:12" x14ac:dyDescent="0.2">
      <c r="A18" s="1"/>
      <c r="B18" s="1"/>
      <c r="C18" s="1"/>
      <c r="D18" s="1" t="s">
        <v>82</v>
      </c>
      <c r="E18" s="53" t="e">
        <f>+'Income Statement'!#REF!</f>
        <v>#REF!</v>
      </c>
      <c r="F18" s="53" t="e">
        <f>+'Income Statement'!#REF!</f>
        <v>#REF!</v>
      </c>
      <c r="G18" s="24" t="e">
        <f t="shared" si="2"/>
        <v>#REF!</v>
      </c>
      <c r="H18" s="53" t="e">
        <f>+'Income Statement'!#REF!</f>
        <v>#REF!</v>
      </c>
      <c r="I18" s="53" t="e">
        <f>+'Income Statement'!#REF!</f>
        <v>#REF!</v>
      </c>
      <c r="J18" s="24" t="e">
        <f t="shared" si="1"/>
        <v>#REF!</v>
      </c>
      <c r="K18" s="53" t="e">
        <f>+#REF!</f>
        <v>#REF!</v>
      </c>
      <c r="L18" s="57"/>
    </row>
    <row r="19" spans="1:12" x14ac:dyDescent="0.2">
      <c r="A19" s="1"/>
      <c r="B19" s="1"/>
      <c r="C19" s="1"/>
      <c r="D19" s="1" t="s">
        <v>83</v>
      </c>
      <c r="E19" s="53" t="e">
        <f>+'Income Statement'!#REF!</f>
        <v>#REF!</v>
      </c>
      <c r="F19" s="53" t="e">
        <f>+'Income Statement'!#REF!</f>
        <v>#REF!</v>
      </c>
      <c r="G19" s="24" t="e">
        <f t="shared" si="2"/>
        <v>#REF!</v>
      </c>
      <c r="H19" s="53" t="e">
        <f>+'Income Statement'!#REF!</f>
        <v>#REF!</v>
      </c>
      <c r="I19" s="53" t="e">
        <f>+'Income Statement'!#REF!</f>
        <v>#REF!</v>
      </c>
      <c r="J19" s="24" t="e">
        <f t="shared" si="1"/>
        <v>#REF!</v>
      </c>
      <c r="K19" s="53" t="e">
        <f>+#REF!</f>
        <v>#REF!</v>
      </c>
    </row>
    <row r="20" spans="1:12" x14ac:dyDescent="0.2">
      <c r="A20" s="1"/>
      <c r="B20" s="1"/>
      <c r="C20" s="1"/>
      <c r="D20" s="1" t="s">
        <v>84</v>
      </c>
      <c r="E20" s="53" t="e">
        <f>+'Income Statement'!#REF!</f>
        <v>#REF!</v>
      </c>
      <c r="F20" s="53" t="e">
        <f>+'Income Statement'!#REF!</f>
        <v>#REF!</v>
      </c>
      <c r="G20" s="24" t="e">
        <f t="shared" si="2"/>
        <v>#REF!</v>
      </c>
      <c r="H20" s="53" t="e">
        <f>+'Income Statement'!#REF!</f>
        <v>#REF!</v>
      </c>
      <c r="I20" s="53" t="e">
        <f>+'Income Statement'!#REF!</f>
        <v>#REF!</v>
      </c>
      <c r="J20" s="24" t="e">
        <f t="shared" si="1"/>
        <v>#REF!</v>
      </c>
      <c r="K20" s="53" t="e">
        <f>+#REF!</f>
        <v>#REF!</v>
      </c>
      <c r="L20" t="s">
        <v>85</v>
      </c>
    </row>
    <row r="21" spans="1:12" x14ac:dyDescent="0.2">
      <c r="A21" s="1"/>
      <c r="B21" s="1"/>
      <c r="C21" s="1"/>
      <c r="D21" s="1" t="s">
        <v>86</v>
      </c>
      <c r="E21" s="53" t="e">
        <f>+'Income Statement'!#REF!</f>
        <v>#REF!</v>
      </c>
      <c r="F21" s="53" t="e">
        <f>+'Income Statement'!#REF!</f>
        <v>#REF!</v>
      </c>
      <c r="G21" s="24" t="e">
        <f t="shared" si="2"/>
        <v>#REF!</v>
      </c>
      <c r="H21" s="53" t="e">
        <f>+'Income Statement'!#REF!</f>
        <v>#REF!</v>
      </c>
      <c r="I21" s="53" t="e">
        <f>+'Income Statement'!#REF!</f>
        <v>#REF!</v>
      </c>
      <c r="J21" s="24" t="e">
        <f t="shared" si="1"/>
        <v>#REF!</v>
      </c>
      <c r="K21" s="53" t="e">
        <f>+#REF!</f>
        <v>#REF!</v>
      </c>
      <c r="L21" s="57"/>
    </row>
    <row r="22" spans="1:12" x14ac:dyDescent="0.2">
      <c r="A22" s="1"/>
      <c r="B22" s="1"/>
      <c r="C22" s="1"/>
      <c r="D22" s="1" t="s">
        <v>87</v>
      </c>
      <c r="E22" s="53" t="e">
        <f>+'Income Statement'!#REF!</f>
        <v>#REF!</v>
      </c>
      <c r="F22" s="53" t="e">
        <f>+'Income Statement'!#REF!</f>
        <v>#REF!</v>
      </c>
      <c r="G22" s="24" t="e">
        <f t="shared" si="2"/>
        <v>#REF!</v>
      </c>
      <c r="H22" s="53" t="e">
        <f>+'Income Statement'!#REF!</f>
        <v>#REF!</v>
      </c>
      <c r="I22" s="53" t="e">
        <f>+'Income Statement'!#REF!</f>
        <v>#REF!</v>
      </c>
      <c r="J22" s="24" t="e">
        <f t="shared" si="1"/>
        <v>#REF!</v>
      </c>
      <c r="K22" s="53" t="e">
        <f>+#REF!</f>
        <v>#REF!</v>
      </c>
    </row>
    <row r="23" spans="1:12" ht="16" x14ac:dyDescent="0.2">
      <c r="A23" s="1"/>
      <c r="B23" s="1"/>
      <c r="C23" s="1"/>
      <c r="D23" s="1" t="s">
        <v>88</v>
      </c>
      <c r="E23" s="53" t="e">
        <f>+'Income Statement'!#REF!</f>
        <v>#REF!</v>
      </c>
      <c r="F23" s="53" t="e">
        <f>+'Income Statement'!#REF!</f>
        <v>#REF!</v>
      </c>
      <c r="G23" s="24" t="e">
        <f t="shared" si="2"/>
        <v>#REF!</v>
      </c>
      <c r="H23" s="53" t="e">
        <f>+'Income Statement'!#REF!</f>
        <v>#REF!</v>
      </c>
      <c r="I23" s="53" t="e">
        <f>+'Income Statement'!#REF!</f>
        <v>#REF!</v>
      </c>
      <c r="J23" s="24" t="e">
        <f t="shared" si="1"/>
        <v>#REF!</v>
      </c>
      <c r="K23" s="53" t="e">
        <f>+#REF!</f>
        <v>#REF!</v>
      </c>
      <c r="L23" s="57" t="s">
        <v>89</v>
      </c>
    </row>
    <row r="24" spans="1:12" x14ac:dyDescent="0.2">
      <c r="A24" s="1"/>
      <c r="B24" s="1"/>
      <c r="C24" s="1"/>
      <c r="D24" s="1" t="s">
        <v>90</v>
      </c>
      <c r="E24" s="140" t="e">
        <f>+'Income Statement'!#REF!</f>
        <v>#REF!</v>
      </c>
      <c r="F24" s="140" t="e">
        <f>+'Income Statement'!#REF!</f>
        <v>#REF!</v>
      </c>
      <c r="G24" s="26" t="e">
        <f t="shared" si="2"/>
        <v>#REF!</v>
      </c>
      <c r="H24" s="140" t="e">
        <f>+'Income Statement'!#REF!</f>
        <v>#REF!</v>
      </c>
      <c r="I24" s="140" t="e">
        <f>+'Income Statement'!#REF!</f>
        <v>#REF!</v>
      </c>
      <c r="J24" s="26" t="e">
        <f t="shared" si="1"/>
        <v>#REF!</v>
      </c>
      <c r="K24" s="140" t="e">
        <f>+#REF!</f>
        <v>#REF!</v>
      </c>
    </row>
    <row r="25" spans="1:12" x14ac:dyDescent="0.2">
      <c r="A25" s="1"/>
      <c r="B25" s="1"/>
      <c r="C25" s="1" t="s">
        <v>91</v>
      </c>
      <c r="D25" s="1"/>
      <c r="E25" s="53" t="e">
        <f>SUM(E16:E24)</f>
        <v>#REF!</v>
      </c>
      <c r="F25" s="53" t="e">
        <f>SUM(F16:F24)</f>
        <v>#REF!</v>
      </c>
      <c r="G25" s="24" t="e">
        <f t="shared" si="2"/>
        <v>#REF!</v>
      </c>
      <c r="H25" s="53" t="e">
        <f>SUM(H16:H24)</f>
        <v>#REF!</v>
      </c>
      <c r="I25" s="53" t="e">
        <f>SUM(I16:I24)</f>
        <v>#REF!</v>
      </c>
      <c r="J25" s="24" t="e">
        <f t="shared" si="1"/>
        <v>#REF!</v>
      </c>
      <c r="K25" s="53" t="e">
        <f>SUM(K16:K24)</f>
        <v>#REF!</v>
      </c>
    </row>
    <row r="26" spans="1:12" ht="30" customHeight="1" x14ac:dyDescent="0.2">
      <c r="A26" s="1"/>
      <c r="B26" s="1"/>
      <c r="C26" s="1" t="s">
        <v>92</v>
      </c>
      <c r="D26" s="1"/>
      <c r="F26" s="53"/>
      <c r="G26" s="24"/>
      <c r="H26" s="53"/>
      <c r="I26" s="53"/>
      <c r="J26" s="24"/>
      <c r="K26" s="53"/>
    </row>
    <row r="27" spans="1:12" x14ac:dyDescent="0.2">
      <c r="A27" s="1"/>
      <c r="B27" s="1"/>
      <c r="C27" s="1"/>
      <c r="D27" s="1" t="s">
        <v>93</v>
      </c>
      <c r="E27" s="53" t="e">
        <f>+'Income Statement'!#REF!</f>
        <v>#REF!</v>
      </c>
      <c r="F27" s="53" t="e">
        <f>+'Income Statement'!#REF!</f>
        <v>#REF!</v>
      </c>
      <c r="G27" s="24" t="e">
        <f t="shared" si="2"/>
        <v>#REF!</v>
      </c>
      <c r="H27" s="53">
        <f>+'Income Statement'!E26</f>
        <v>0</v>
      </c>
      <c r="I27" s="53" t="e">
        <f>+'Income Statement'!#REF!</f>
        <v>#REF!</v>
      </c>
      <c r="J27" s="24" t="e">
        <f t="shared" ref="J27:J40" si="3">+I27-H27</f>
        <v>#REF!</v>
      </c>
      <c r="K27" s="53" t="e">
        <f>+#REF!</f>
        <v>#REF!</v>
      </c>
    </row>
    <row r="28" spans="1:12" x14ac:dyDescent="0.2">
      <c r="A28" s="1"/>
      <c r="B28" s="1"/>
      <c r="C28" s="1"/>
      <c r="D28" s="1" t="s">
        <v>94</v>
      </c>
      <c r="E28" s="53" t="e">
        <f>+'Income Statement'!#REF!</f>
        <v>#REF!</v>
      </c>
      <c r="F28" s="53" t="e">
        <f>+'Income Statement'!#REF!</f>
        <v>#REF!</v>
      </c>
      <c r="G28" s="24" t="e">
        <f t="shared" si="2"/>
        <v>#REF!</v>
      </c>
      <c r="H28" s="53" t="e">
        <f>+'Income Statement'!#REF!</f>
        <v>#REF!</v>
      </c>
      <c r="I28" s="53" t="e">
        <f>+'Income Statement'!#REF!</f>
        <v>#REF!</v>
      </c>
      <c r="J28" s="24" t="e">
        <f t="shared" si="3"/>
        <v>#REF!</v>
      </c>
      <c r="K28" s="53" t="e">
        <f>+#REF!</f>
        <v>#REF!</v>
      </c>
    </row>
    <row r="29" spans="1:12" x14ac:dyDescent="0.2">
      <c r="A29" s="1"/>
      <c r="B29" s="1"/>
      <c r="C29" s="1"/>
      <c r="D29" s="1" t="s">
        <v>95</v>
      </c>
      <c r="E29" s="53" t="e">
        <f>'Income Statement'!#REF!</f>
        <v>#REF!</v>
      </c>
      <c r="F29" s="53" t="e">
        <f>'Income Statement'!#REF!</f>
        <v>#REF!</v>
      </c>
      <c r="G29" s="24" t="e">
        <f t="shared" si="2"/>
        <v>#REF!</v>
      </c>
      <c r="H29" s="53" t="e">
        <f>+'Income Statement'!#REF!</f>
        <v>#REF!</v>
      </c>
      <c r="I29" s="53">
        <v>0</v>
      </c>
      <c r="J29" s="24" t="e">
        <f t="shared" si="3"/>
        <v>#REF!</v>
      </c>
      <c r="K29" s="53">
        <v>0</v>
      </c>
    </row>
    <row r="30" spans="1:12" x14ac:dyDescent="0.2">
      <c r="A30" s="1"/>
      <c r="B30" s="1"/>
      <c r="C30" s="1"/>
      <c r="D30" s="1" t="s">
        <v>96</v>
      </c>
      <c r="E30" s="53" t="e">
        <f>+'Income Statement'!#REF!</f>
        <v>#REF!</v>
      </c>
      <c r="F30" s="53" t="e">
        <f>+'Income Statement'!#REF!</f>
        <v>#REF!</v>
      </c>
      <c r="G30" s="24" t="e">
        <f t="shared" si="2"/>
        <v>#REF!</v>
      </c>
      <c r="H30" s="53" t="e">
        <f>+'Income Statement'!#REF!</f>
        <v>#REF!</v>
      </c>
      <c r="I30" s="53" t="e">
        <f>+'Income Statement'!#REF!</f>
        <v>#REF!</v>
      </c>
      <c r="J30" s="24" t="e">
        <f t="shared" si="3"/>
        <v>#REF!</v>
      </c>
      <c r="K30" s="53" t="e">
        <f>+#REF!</f>
        <v>#REF!</v>
      </c>
    </row>
    <row r="31" spans="1:12" x14ac:dyDescent="0.2">
      <c r="A31" s="1"/>
      <c r="B31" s="1"/>
      <c r="C31" s="1"/>
      <c r="D31" s="1" t="s">
        <v>97</v>
      </c>
      <c r="E31" s="53" t="e">
        <f>+'Income Statement'!#REF!</f>
        <v>#REF!</v>
      </c>
      <c r="F31" s="53" t="e">
        <f>+'Income Statement'!#REF!</f>
        <v>#REF!</v>
      </c>
      <c r="G31" s="24" t="e">
        <f t="shared" si="2"/>
        <v>#REF!</v>
      </c>
      <c r="H31" s="53" t="e">
        <f>+'Income Statement'!#REF!</f>
        <v>#REF!</v>
      </c>
      <c r="I31" s="53" t="e">
        <f>+'Income Statement'!#REF!</f>
        <v>#REF!</v>
      </c>
      <c r="J31" s="24" t="e">
        <f t="shared" si="3"/>
        <v>#REF!</v>
      </c>
      <c r="K31" s="53" t="e">
        <f>+#REF!</f>
        <v>#REF!</v>
      </c>
    </row>
    <row r="32" spans="1:12" x14ac:dyDescent="0.2">
      <c r="A32" s="1"/>
      <c r="B32" s="1"/>
      <c r="C32" s="1"/>
      <c r="D32" s="1" t="s">
        <v>98</v>
      </c>
      <c r="E32" s="53" t="e">
        <f>+'Income Statement'!#REF!</f>
        <v>#REF!</v>
      </c>
      <c r="F32" s="53" t="e">
        <f>+'Income Statement'!#REF!</f>
        <v>#REF!</v>
      </c>
      <c r="G32" s="24" t="e">
        <f t="shared" si="2"/>
        <v>#REF!</v>
      </c>
      <c r="H32" s="53" t="e">
        <f>+'Income Statement'!#REF!</f>
        <v>#REF!</v>
      </c>
      <c r="I32" s="53" t="e">
        <f>+'Income Statement'!#REF!</f>
        <v>#REF!</v>
      </c>
      <c r="J32" s="24" t="e">
        <f t="shared" si="3"/>
        <v>#REF!</v>
      </c>
      <c r="K32" s="53" t="e">
        <f>+#REF!</f>
        <v>#REF!</v>
      </c>
    </row>
    <row r="33" spans="1:12" ht="16" x14ac:dyDescent="0.2">
      <c r="A33" s="1"/>
      <c r="B33" s="1"/>
      <c r="C33" s="1"/>
      <c r="D33" s="1" t="s">
        <v>99</v>
      </c>
      <c r="E33" s="53" t="e">
        <f>+'Income Statement'!#REF!</f>
        <v>#REF!</v>
      </c>
      <c r="F33" s="53" t="e">
        <f>+'Income Statement'!#REF!</f>
        <v>#REF!</v>
      </c>
      <c r="G33" s="24" t="e">
        <f t="shared" si="2"/>
        <v>#REF!</v>
      </c>
      <c r="H33" s="53" t="e">
        <f>+'Income Statement'!#REF!</f>
        <v>#REF!</v>
      </c>
      <c r="I33" s="53" t="e">
        <f>+'Income Statement'!#REF!</f>
        <v>#REF!</v>
      </c>
      <c r="J33" s="24" t="e">
        <f t="shared" si="3"/>
        <v>#REF!</v>
      </c>
      <c r="K33" s="53" t="e">
        <f>+#REF!</f>
        <v>#REF!</v>
      </c>
      <c r="L33" s="57" t="s">
        <v>89</v>
      </c>
    </row>
    <row r="34" spans="1:12" ht="16" x14ac:dyDescent="0.2">
      <c r="A34" s="1"/>
      <c r="B34" s="1"/>
      <c r="C34" s="1"/>
      <c r="D34" s="1" t="s">
        <v>100</v>
      </c>
      <c r="E34" s="53" t="e">
        <f>+'Income Statement'!#REF!</f>
        <v>#REF!</v>
      </c>
      <c r="F34" s="53" t="e">
        <f>+'Income Statement'!#REF!</f>
        <v>#REF!</v>
      </c>
      <c r="G34" s="24" t="e">
        <f t="shared" si="2"/>
        <v>#REF!</v>
      </c>
      <c r="H34" s="53" t="e">
        <f>+'Income Statement'!#REF!</f>
        <v>#REF!</v>
      </c>
      <c r="I34" s="53" t="e">
        <f>+'Income Statement'!#REF!</f>
        <v>#REF!</v>
      </c>
      <c r="J34" s="24" t="e">
        <f t="shared" si="3"/>
        <v>#REF!</v>
      </c>
      <c r="K34" s="53" t="e">
        <f>+#REF!</f>
        <v>#REF!</v>
      </c>
      <c r="L34" s="57" t="s">
        <v>89</v>
      </c>
    </row>
    <row r="35" spans="1:12" x14ac:dyDescent="0.2">
      <c r="A35" s="1"/>
      <c r="B35" s="1"/>
      <c r="C35" s="1"/>
      <c r="D35" s="1" t="s">
        <v>101</v>
      </c>
      <c r="E35" s="53" t="e">
        <f>+'Income Statement'!#REF!</f>
        <v>#REF!</v>
      </c>
      <c r="F35" s="53" t="e">
        <f>+'Income Statement'!#REF!</f>
        <v>#REF!</v>
      </c>
      <c r="G35" s="24" t="e">
        <f t="shared" si="2"/>
        <v>#REF!</v>
      </c>
      <c r="H35" s="53" t="e">
        <f>+'Income Statement'!#REF!</f>
        <v>#REF!</v>
      </c>
      <c r="I35" s="53" t="e">
        <f>+'Income Statement'!#REF!</f>
        <v>#REF!</v>
      </c>
      <c r="J35" s="24" t="e">
        <f t="shared" si="3"/>
        <v>#REF!</v>
      </c>
      <c r="K35" s="53" t="e">
        <f>+#REF!</f>
        <v>#REF!</v>
      </c>
    </row>
    <row r="36" spans="1:12" x14ac:dyDescent="0.2">
      <c r="A36" s="1"/>
      <c r="B36" s="1"/>
      <c r="C36" s="1"/>
      <c r="D36" s="1" t="s">
        <v>102</v>
      </c>
      <c r="E36" s="53" t="e">
        <f>+'Income Statement'!#REF!</f>
        <v>#REF!</v>
      </c>
      <c r="F36" s="53" t="e">
        <f>+'Income Statement'!#REF!</f>
        <v>#REF!</v>
      </c>
      <c r="G36" s="24" t="e">
        <f t="shared" si="2"/>
        <v>#REF!</v>
      </c>
      <c r="H36" s="53" t="e">
        <f>+'Income Statement'!#REF!</f>
        <v>#REF!</v>
      </c>
      <c r="I36" s="53" t="e">
        <f>+'Income Statement'!#REF!</f>
        <v>#REF!</v>
      </c>
      <c r="J36" s="24" t="e">
        <f t="shared" si="3"/>
        <v>#REF!</v>
      </c>
      <c r="K36" s="53" t="e">
        <f>+#REF!</f>
        <v>#REF!</v>
      </c>
    </row>
    <row r="37" spans="1:12" x14ac:dyDescent="0.2">
      <c r="A37" s="1"/>
      <c r="B37" s="1"/>
      <c r="C37" s="1"/>
      <c r="D37" s="6" t="s">
        <v>103</v>
      </c>
      <c r="E37" s="53" t="e">
        <f>+'Income Statement'!#REF!</f>
        <v>#REF!</v>
      </c>
      <c r="F37" s="53" t="e">
        <f>+'Income Statement'!#REF!</f>
        <v>#REF!</v>
      </c>
      <c r="G37" s="24" t="e">
        <f t="shared" si="2"/>
        <v>#REF!</v>
      </c>
      <c r="H37" s="53" t="e">
        <f>+'Income Statement'!#REF!</f>
        <v>#REF!</v>
      </c>
      <c r="I37" s="53" t="e">
        <f>+'Income Statement'!#REF!</f>
        <v>#REF!</v>
      </c>
      <c r="J37" s="24" t="e">
        <f t="shared" si="3"/>
        <v>#REF!</v>
      </c>
      <c r="K37" s="53" t="e">
        <f>+#REF!</f>
        <v>#REF!</v>
      </c>
    </row>
    <row r="38" spans="1:12" x14ac:dyDescent="0.2">
      <c r="A38" s="1"/>
      <c r="B38" s="1"/>
      <c r="C38" s="1"/>
      <c r="D38" s="6" t="s">
        <v>104</v>
      </c>
      <c r="E38" s="53" t="e">
        <f>'Income Statement'!#REF!</f>
        <v>#REF!</v>
      </c>
      <c r="F38" s="53" t="e">
        <f>'Income Statement'!#REF!</f>
        <v>#REF!</v>
      </c>
      <c r="G38" s="24" t="e">
        <f t="shared" si="2"/>
        <v>#REF!</v>
      </c>
      <c r="H38" s="53" t="e">
        <f>+'Income Statement'!#REF!</f>
        <v>#REF!</v>
      </c>
      <c r="I38" s="53">
        <v>0</v>
      </c>
      <c r="J38" s="24" t="e">
        <f t="shared" si="3"/>
        <v>#REF!</v>
      </c>
      <c r="K38" s="53">
        <v>0</v>
      </c>
    </row>
    <row r="39" spans="1:12" x14ac:dyDescent="0.2">
      <c r="A39" s="1"/>
      <c r="B39" s="1"/>
      <c r="C39" s="1"/>
      <c r="D39" s="1" t="s">
        <v>105</v>
      </c>
      <c r="E39" s="140" t="e">
        <f>+'Income Statement'!#REF!</f>
        <v>#REF!</v>
      </c>
      <c r="F39" s="140" t="e">
        <f>+'Income Statement'!#REF!</f>
        <v>#REF!</v>
      </c>
      <c r="G39" s="26" t="e">
        <f t="shared" si="2"/>
        <v>#REF!</v>
      </c>
      <c r="H39" s="140" t="e">
        <f>+'Income Statement'!#REF!</f>
        <v>#REF!</v>
      </c>
      <c r="I39" s="140" t="e">
        <f>+'Income Statement'!#REF!</f>
        <v>#REF!</v>
      </c>
      <c r="J39" s="26" t="e">
        <f t="shared" si="3"/>
        <v>#REF!</v>
      </c>
      <c r="K39" s="140" t="e">
        <f>+#REF!</f>
        <v>#REF!</v>
      </c>
    </row>
    <row r="40" spans="1:12" x14ac:dyDescent="0.2">
      <c r="A40" s="1"/>
      <c r="B40" s="1"/>
      <c r="C40" s="1" t="s">
        <v>106</v>
      </c>
      <c r="D40" s="1"/>
      <c r="E40" s="18" t="e">
        <f>SUM(E27:E39)</f>
        <v>#REF!</v>
      </c>
      <c r="F40" s="18" t="e">
        <f>SUM(F27:F39)</f>
        <v>#REF!</v>
      </c>
      <c r="G40" s="24" t="e">
        <f t="shared" si="2"/>
        <v>#REF!</v>
      </c>
      <c r="H40" s="18" t="e">
        <f>SUM(H26:H39)</f>
        <v>#REF!</v>
      </c>
      <c r="I40" s="18" t="e">
        <f>SUM(I27:I39)</f>
        <v>#REF!</v>
      </c>
      <c r="J40" s="24" t="e">
        <f t="shared" si="3"/>
        <v>#REF!</v>
      </c>
      <c r="K40" s="18" t="e">
        <f>SUM(K27:K39)</f>
        <v>#REF!</v>
      </c>
      <c r="L40" s="7"/>
    </row>
    <row r="41" spans="1:12" ht="30" customHeight="1" x14ac:dyDescent="0.2">
      <c r="A41" s="1"/>
      <c r="B41" s="1"/>
      <c r="C41" s="1" t="s">
        <v>107</v>
      </c>
      <c r="D41" s="1"/>
      <c r="E41" s="18"/>
      <c r="F41" s="18"/>
      <c r="G41" s="25"/>
      <c r="H41" s="18"/>
      <c r="I41" s="18"/>
      <c r="J41" s="25"/>
      <c r="K41" s="18"/>
    </row>
    <row r="42" spans="1:12" x14ac:dyDescent="0.2">
      <c r="A42" s="1"/>
      <c r="B42" s="1"/>
      <c r="C42" s="1"/>
      <c r="D42" s="1" t="s">
        <v>108</v>
      </c>
      <c r="E42" s="53" t="e">
        <f>+'Income Statement'!#REF!</f>
        <v>#REF!</v>
      </c>
      <c r="F42" s="53" t="e">
        <f>+'Income Statement'!#REF!</f>
        <v>#REF!</v>
      </c>
      <c r="G42" s="24" t="e">
        <f t="shared" si="2"/>
        <v>#REF!</v>
      </c>
      <c r="H42" s="53" t="e">
        <f>+'Income Statement'!#REF!</f>
        <v>#REF!</v>
      </c>
      <c r="I42" s="53" t="e">
        <f>+'Income Statement'!#REF!</f>
        <v>#REF!</v>
      </c>
      <c r="J42" s="24" t="e">
        <f t="shared" ref="J42:J47" si="4">+I42-H42</f>
        <v>#REF!</v>
      </c>
      <c r="K42" s="53" t="e">
        <f>+#REF!</f>
        <v>#REF!</v>
      </c>
    </row>
    <row r="43" spans="1:12" x14ac:dyDescent="0.2">
      <c r="A43" s="1"/>
      <c r="B43" s="1"/>
      <c r="C43" s="1"/>
      <c r="D43" s="1" t="s">
        <v>109</v>
      </c>
      <c r="E43" s="53" t="e">
        <f>+'Income Statement'!#REF!</f>
        <v>#REF!</v>
      </c>
      <c r="F43" s="53" t="e">
        <f>+'Income Statement'!#REF!</f>
        <v>#REF!</v>
      </c>
      <c r="G43" s="24" t="e">
        <f t="shared" si="2"/>
        <v>#REF!</v>
      </c>
      <c r="H43" s="53" t="e">
        <f>+'Income Statement'!#REF!</f>
        <v>#REF!</v>
      </c>
      <c r="I43" s="53" t="e">
        <f>+'Income Statement'!#REF!</f>
        <v>#REF!</v>
      </c>
      <c r="J43" s="24" t="e">
        <f t="shared" si="4"/>
        <v>#REF!</v>
      </c>
      <c r="K43" s="53" t="e">
        <f>+#REF!</f>
        <v>#REF!</v>
      </c>
      <c r="L43" t="s">
        <v>110</v>
      </c>
    </row>
    <row r="44" spans="1:12" x14ac:dyDescent="0.2">
      <c r="A44" s="1"/>
      <c r="B44" s="1"/>
      <c r="C44" s="1"/>
      <c r="D44" s="1" t="s">
        <v>111</v>
      </c>
      <c r="E44" s="53" t="e">
        <f>+'Income Statement'!#REF!</f>
        <v>#REF!</v>
      </c>
      <c r="F44" s="53" t="e">
        <f>+'Income Statement'!#REF!</f>
        <v>#REF!</v>
      </c>
      <c r="G44" s="24" t="e">
        <f t="shared" si="2"/>
        <v>#REF!</v>
      </c>
      <c r="H44" s="53" t="e">
        <f>+'Income Statement'!#REF!</f>
        <v>#REF!</v>
      </c>
      <c r="I44" s="53" t="e">
        <f>+'Income Statement'!#REF!</f>
        <v>#REF!</v>
      </c>
      <c r="J44" s="24" t="e">
        <f t="shared" si="4"/>
        <v>#REF!</v>
      </c>
      <c r="K44" s="53" t="e">
        <f>+#REF!</f>
        <v>#REF!</v>
      </c>
      <c r="L44" s="57"/>
    </row>
    <row r="45" spans="1:12" x14ac:dyDescent="0.2">
      <c r="A45" s="1"/>
      <c r="B45" s="1"/>
      <c r="C45" s="1"/>
      <c r="D45" s="1" t="s">
        <v>112</v>
      </c>
      <c r="E45" s="53" t="e">
        <f>+'Income Statement'!#REF!</f>
        <v>#REF!</v>
      </c>
      <c r="F45" s="53" t="e">
        <f>+'Income Statement'!#REF!</f>
        <v>#REF!</v>
      </c>
      <c r="G45" s="24" t="e">
        <f t="shared" si="2"/>
        <v>#REF!</v>
      </c>
      <c r="H45" s="53" t="e">
        <f>+'Income Statement'!#REF!</f>
        <v>#REF!</v>
      </c>
      <c r="I45" s="53" t="e">
        <f>+'Income Statement'!#REF!</f>
        <v>#REF!</v>
      </c>
      <c r="J45" s="24" t="e">
        <f t="shared" si="4"/>
        <v>#REF!</v>
      </c>
      <c r="K45" s="53" t="e">
        <f>+#REF!</f>
        <v>#REF!</v>
      </c>
    </row>
    <row r="46" spans="1:12" x14ac:dyDescent="0.2">
      <c r="A46" s="1"/>
      <c r="B46" s="1"/>
      <c r="C46" s="1"/>
      <c r="D46" s="1" t="s">
        <v>113</v>
      </c>
      <c r="E46" s="140" t="e">
        <f>+'Income Statement'!#REF!</f>
        <v>#REF!</v>
      </c>
      <c r="F46" s="140" t="e">
        <f>+'Income Statement'!#REF!</f>
        <v>#REF!</v>
      </c>
      <c r="G46" s="26" t="e">
        <f t="shared" si="2"/>
        <v>#REF!</v>
      </c>
      <c r="H46" s="140" t="e">
        <f>+'Income Statement'!#REF!</f>
        <v>#REF!</v>
      </c>
      <c r="I46" s="140" t="e">
        <f>+'Income Statement'!#REF!</f>
        <v>#REF!</v>
      </c>
      <c r="J46" s="26" t="e">
        <f t="shared" si="4"/>
        <v>#REF!</v>
      </c>
      <c r="K46" s="140" t="e">
        <f>+#REF!</f>
        <v>#REF!</v>
      </c>
      <c r="L46" s="57"/>
    </row>
    <row r="47" spans="1:12" x14ac:dyDescent="0.2">
      <c r="A47" s="1"/>
      <c r="B47" s="1"/>
      <c r="C47" s="1" t="s">
        <v>114</v>
      </c>
      <c r="D47" s="1"/>
      <c r="E47" s="53" t="e">
        <f>SUM(E42:E46)</f>
        <v>#REF!</v>
      </c>
      <c r="F47" s="53" t="e">
        <f>SUM(F42:F46)</f>
        <v>#REF!</v>
      </c>
      <c r="G47" s="24" t="e">
        <f t="shared" si="2"/>
        <v>#REF!</v>
      </c>
      <c r="H47" s="53" t="e">
        <f>SUM(H42:H46)</f>
        <v>#REF!</v>
      </c>
      <c r="I47" s="53" t="e">
        <f>SUM(I42:I46)</f>
        <v>#REF!</v>
      </c>
      <c r="J47" s="24" t="e">
        <f t="shared" si="4"/>
        <v>#REF!</v>
      </c>
      <c r="K47" s="53" t="e">
        <f>SUM(K42:K46)</f>
        <v>#REF!</v>
      </c>
    </row>
    <row r="48" spans="1:12" ht="30" customHeight="1" x14ac:dyDescent="0.2">
      <c r="A48" s="1"/>
      <c r="B48" s="1"/>
      <c r="C48" s="1" t="s">
        <v>115</v>
      </c>
      <c r="D48" s="1"/>
      <c r="F48" s="53"/>
      <c r="G48" s="24"/>
      <c r="H48" s="53"/>
      <c r="I48" s="53"/>
      <c r="J48" s="24"/>
      <c r="K48" s="53"/>
    </row>
    <row r="49" spans="1:12" x14ac:dyDescent="0.2">
      <c r="A49" s="1"/>
      <c r="B49" s="1"/>
      <c r="C49" s="1"/>
      <c r="D49" s="1" t="s">
        <v>116</v>
      </c>
      <c r="E49" s="53" t="e">
        <f>+'Income Statement'!#REF!</f>
        <v>#REF!</v>
      </c>
      <c r="F49" s="53" t="e">
        <f>+'Income Statement'!#REF!</f>
        <v>#REF!</v>
      </c>
      <c r="G49" s="24" t="e">
        <f t="shared" si="2"/>
        <v>#REF!</v>
      </c>
      <c r="H49" s="53" t="e">
        <f>+'Income Statement'!#REF!</f>
        <v>#REF!</v>
      </c>
      <c r="I49" s="53" t="e">
        <f>+'Income Statement'!#REF!</f>
        <v>#REF!</v>
      </c>
      <c r="J49" s="24" t="e">
        <f t="shared" ref="J49:J71" si="5">+I49-H49</f>
        <v>#REF!</v>
      </c>
      <c r="K49" s="53" t="e">
        <f>+#REF!</f>
        <v>#REF!</v>
      </c>
    </row>
    <row r="50" spans="1:12" x14ac:dyDescent="0.2">
      <c r="A50" s="1"/>
      <c r="B50" s="1"/>
      <c r="C50" s="1"/>
      <c r="D50" s="1" t="s">
        <v>41</v>
      </c>
      <c r="E50" s="53" t="e">
        <f>+'Income Statement'!#REF!</f>
        <v>#REF!</v>
      </c>
      <c r="F50" s="53" t="e">
        <f>+'Income Statement'!#REF!</f>
        <v>#REF!</v>
      </c>
      <c r="G50" s="24" t="e">
        <f t="shared" si="2"/>
        <v>#REF!</v>
      </c>
      <c r="H50" s="53" t="e">
        <f>+'Income Statement'!#REF!</f>
        <v>#REF!</v>
      </c>
      <c r="I50" s="53" t="e">
        <f>+'Income Statement'!#REF!</f>
        <v>#REF!</v>
      </c>
      <c r="J50" s="24" t="e">
        <f t="shared" si="5"/>
        <v>#REF!</v>
      </c>
      <c r="K50" s="53" t="e">
        <f>+#REF!</f>
        <v>#REF!</v>
      </c>
      <c r="L50" t="s">
        <v>117</v>
      </c>
    </row>
    <row r="51" spans="1:12" x14ac:dyDescent="0.2">
      <c r="A51" s="1"/>
      <c r="B51" s="1"/>
      <c r="C51" s="1"/>
      <c r="D51" s="1" t="s">
        <v>118</v>
      </c>
      <c r="E51" s="53" t="e">
        <f>+'Income Statement'!#REF!</f>
        <v>#REF!</v>
      </c>
      <c r="F51" s="53" t="e">
        <f>+'Income Statement'!#REF!</f>
        <v>#REF!</v>
      </c>
      <c r="G51" s="24" t="e">
        <f>+F51-E51</f>
        <v>#REF!</v>
      </c>
      <c r="H51" s="53" t="e">
        <f>+'Income Statement'!#REF!</f>
        <v>#REF!</v>
      </c>
      <c r="I51" s="53" t="e">
        <f>+'Income Statement'!#REF!</f>
        <v>#REF!</v>
      </c>
      <c r="J51" s="24" t="e">
        <f t="shared" si="5"/>
        <v>#REF!</v>
      </c>
      <c r="K51" s="53" t="e">
        <f>+#REF!</f>
        <v>#REF!</v>
      </c>
    </row>
    <row r="52" spans="1:12" ht="16" x14ac:dyDescent="0.2">
      <c r="A52" s="1"/>
      <c r="B52" s="1"/>
      <c r="C52" s="1"/>
      <c r="D52" s="1" t="s">
        <v>119</v>
      </c>
      <c r="E52" s="53" t="e">
        <f>+'Income Statement'!#REF!</f>
        <v>#REF!</v>
      </c>
      <c r="F52" s="53" t="e">
        <f>+'Income Statement'!#REF!</f>
        <v>#REF!</v>
      </c>
      <c r="G52" s="24" t="e">
        <f t="shared" si="2"/>
        <v>#REF!</v>
      </c>
      <c r="H52" s="53" t="e">
        <f>+'Income Statement'!#REF!</f>
        <v>#REF!</v>
      </c>
      <c r="I52" s="53" t="e">
        <f>+'Income Statement'!#REF!</f>
        <v>#REF!</v>
      </c>
      <c r="J52" s="24" t="e">
        <f t="shared" si="5"/>
        <v>#REF!</v>
      </c>
      <c r="K52" s="53" t="e">
        <f>+#REF!</f>
        <v>#REF!</v>
      </c>
      <c r="L52" s="57" t="s">
        <v>120</v>
      </c>
    </row>
    <row r="53" spans="1:12" x14ac:dyDescent="0.2">
      <c r="A53" s="1"/>
      <c r="B53" s="1"/>
      <c r="C53" s="1"/>
      <c r="D53" s="1" t="s">
        <v>121</v>
      </c>
      <c r="E53" s="53" t="e">
        <f>+'Income Statement'!#REF!</f>
        <v>#REF!</v>
      </c>
      <c r="F53" s="53" t="e">
        <f>+'Income Statement'!#REF!</f>
        <v>#REF!</v>
      </c>
      <c r="G53" s="24" t="e">
        <f t="shared" si="2"/>
        <v>#REF!</v>
      </c>
      <c r="H53" s="53" t="e">
        <f>+'Income Statement'!#REF!</f>
        <v>#REF!</v>
      </c>
      <c r="I53" s="53" t="e">
        <f>+'Income Statement'!#REF!</f>
        <v>#REF!</v>
      </c>
      <c r="J53" s="24" t="e">
        <f t="shared" si="5"/>
        <v>#REF!</v>
      </c>
      <c r="K53" s="53" t="e">
        <f>+#REF!</f>
        <v>#REF!</v>
      </c>
    </row>
    <row r="54" spans="1:12" x14ac:dyDescent="0.2">
      <c r="A54" s="1"/>
      <c r="B54" s="1"/>
      <c r="C54" s="1"/>
      <c r="D54" s="1" t="s">
        <v>47</v>
      </c>
      <c r="E54" s="53" t="e">
        <f>+'Income Statement'!#REF!</f>
        <v>#REF!</v>
      </c>
      <c r="F54" s="53" t="e">
        <f>+'Income Statement'!#REF!</f>
        <v>#REF!</v>
      </c>
      <c r="G54" s="24" t="e">
        <f t="shared" si="2"/>
        <v>#REF!</v>
      </c>
      <c r="H54" s="53" t="e">
        <f>+'Income Statement'!#REF!</f>
        <v>#REF!</v>
      </c>
      <c r="I54" s="53" t="e">
        <f>+'Income Statement'!#REF!</f>
        <v>#REF!</v>
      </c>
      <c r="J54" s="24" t="e">
        <f t="shared" si="5"/>
        <v>#REF!</v>
      </c>
      <c r="K54" s="53" t="e">
        <f>+#REF!</f>
        <v>#REF!</v>
      </c>
    </row>
    <row r="55" spans="1:12" x14ac:dyDescent="0.2">
      <c r="A55" s="1"/>
      <c r="B55" s="1"/>
      <c r="C55" s="1"/>
      <c r="D55" s="1" t="s">
        <v>122</v>
      </c>
      <c r="E55" s="140" t="e">
        <f>+'Income Statement'!#REF!</f>
        <v>#REF!</v>
      </c>
      <c r="F55" s="140" t="e">
        <f>+'Income Statement'!#REF!</f>
        <v>#REF!</v>
      </c>
      <c r="G55" s="26" t="e">
        <f t="shared" si="2"/>
        <v>#REF!</v>
      </c>
      <c r="H55" s="140" t="e">
        <f>+'Income Statement'!#REF!</f>
        <v>#REF!</v>
      </c>
      <c r="I55" s="140" t="e">
        <f>+'Income Statement'!#REF!</f>
        <v>#REF!</v>
      </c>
      <c r="J55" s="26" t="e">
        <f t="shared" si="5"/>
        <v>#REF!</v>
      </c>
      <c r="K55" s="140" t="e">
        <f>+#REF!</f>
        <v>#REF!</v>
      </c>
    </row>
    <row r="56" spans="1:12" x14ac:dyDescent="0.2">
      <c r="A56" s="1"/>
      <c r="B56" s="1"/>
      <c r="C56" s="1" t="s">
        <v>123</v>
      </c>
      <c r="D56" s="1"/>
      <c r="E56" s="53" t="e">
        <f>SUM(E49:E55)</f>
        <v>#REF!</v>
      </c>
      <c r="F56" s="53" t="e">
        <f>SUM(F49:F55)</f>
        <v>#REF!</v>
      </c>
      <c r="G56" s="24" t="e">
        <f t="shared" si="2"/>
        <v>#REF!</v>
      </c>
      <c r="H56" s="53" t="e">
        <f>SUM(H49:H55)</f>
        <v>#REF!</v>
      </c>
      <c r="I56" s="53" t="e">
        <f>SUM(I49:I55)</f>
        <v>#REF!</v>
      </c>
      <c r="J56" s="24" t="e">
        <f t="shared" si="5"/>
        <v>#REF!</v>
      </c>
      <c r="K56" s="53" t="e">
        <f>SUM(K49:K55)</f>
        <v>#REF!</v>
      </c>
      <c r="L56" s="7"/>
    </row>
    <row r="57" spans="1:12" ht="30" customHeight="1" x14ac:dyDescent="0.2">
      <c r="A57" s="1"/>
      <c r="B57" s="1"/>
      <c r="C57" s="1" t="s">
        <v>124</v>
      </c>
      <c r="D57" s="1"/>
      <c r="F57" s="53"/>
      <c r="G57" s="24"/>
      <c r="H57" s="53"/>
      <c r="I57" s="53"/>
      <c r="J57" s="24"/>
      <c r="K57" s="53"/>
    </row>
    <row r="58" spans="1:12" x14ac:dyDescent="0.2">
      <c r="A58" s="1"/>
      <c r="B58" s="1"/>
      <c r="C58" s="1"/>
      <c r="D58" s="1" t="s">
        <v>125</v>
      </c>
      <c r="E58" s="53" t="e">
        <f>+'Income Statement'!#REF!</f>
        <v>#REF!</v>
      </c>
      <c r="F58" s="53" t="e">
        <f>+'Income Statement'!#REF!</f>
        <v>#REF!</v>
      </c>
      <c r="G58" s="24" t="e">
        <f t="shared" si="2"/>
        <v>#REF!</v>
      </c>
      <c r="H58" s="53" t="e">
        <f>+'Income Statement'!#REF!</f>
        <v>#REF!</v>
      </c>
      <c r="I58" s="53" t="e">
        <f>+'Income Statement'!#REF!</f>
        <v>#REF!</v>
      </c>
      <c r="J58" s="24" t="e">
        <f t="shared" si="5"/>
        <v>#REF!</v>
      </c>
      <c r="K58" s="53" t="e">
        <f>+#REF!</f>
        <v>#REF!</v>
      </c>
    </row>
    <row r="59" spans="1:12" x14ac:dyDescent="0.2">
      <c r="A59" s="1"/>
      <c r="B59" s="1"/>
      <c r="C59" s="1"/>
      <c r="D59" s="1" t="s">
        <v>126</v>
      </c>
      <c r="E59" s="53" t="e">
        <f>+'Income Statement'!#REF!</f>
        <v>#REF!</v>
      </c>
      <c r="F59" s="53" t="e">
        <f>+'Income Statement'!#REF!</f>
        <v>#REF!</v>
      </c>
      <c r="G59" s="24" t="e">
        <f t="shared" si="2"/>
        <v>#REF!</v>
      </c>
      <c r="H59" s="53" t="e">
        <f>+'Income Statement'!#REF!</f>
        <v>#REF!</v>
      </c>
      <c r="I59" s="53" t="e">
        <f>+'Income Statement'!#REF!</f>
        <v>#REF!</v>
      </c>
      <c r="J59" s="24" t="e">
        <f t="shared" si="5"/>
        <v>#REF!</v>
      </c>
      <c r="K59" s="53" t="e">
        <f>+#REF!</f>
        <v>#REF!</v>
      </c>
    </row>
    <row r="60" spans="1:12" x14ac:dyDescent="0.2">
      <c r="A60" s="1"/>
      <c r="B60" s="1"/>
      <c r="C60" s="1"/>
      <c r="D60" s="1" t="s">
        <v>127</v>
      </c>
      <c r="E60" s="53" t="e">
        <f>+'Income Statement'!#REF!</f>
        <v>#REF!</v>
      </c>
      <c r="F60" s="53" t="e">
        <f>+'Income Statement'!#REF!</f>
        <v>#REF!</v>
      </c>
      <c r="G60" s="24" t="e">
        <f t="shared" si="2"/>
        <v>#REF!</v>
      </c>
      <c r="H60" s="53" t="e">
        <f>+'Income Statement'!#REF!</f>
        <v>#REF!</v>
      </c>
      <c r="I60" s="53" t="e">
        <f>+'Income Statement'!#REF!</f>
        <v>#REF!</v>
      </c>
      <c r="J60" s="24" t="e">
        <f t="shared" si="5"/>
        <v>#REF!</v>
      </c>
      <c r="K60" s="53" t="e">
        <f>+#REF!</f>
        <v>#REF!</v>
      </c>
    </row>
    <row r="61" spans="1:12" x14ac:dyDescent="0.2">
      <c r="A61" s="1"/>
      <c r="B61" s="1"/>
      <c r="C61" s="1"/>
      <c r="D61" s="1" t="s">
        <v>128</v>
      </c>
      <c r="E61" s="53" t="e">
        <f>+'Income Statement'!#REF!</f>
        <v>#REF!</v>
      </c>
      <c r="F61" s="53" t="e">
        <f>+'Income Statement'!#REF!</f>
        <v>#REF!</v>
      </c>
      <c r="G61" s="24" t="e">
        <f t="shared" si="2"/>
        <v>#REF!</v>
      </c>
      <c r="H61" s="53" t="e">
        <f>+'Income Statement'!#REF!</f>
        <v>#REF!</v>
      </c>
      <c r="I61" s="53" t="e">
        <f>+'Income Statement'!#REF!</f>
        <v>#REF!</v>
      </c>
      <c r="J61" s="24" t="e">
        <f t="shared" si="5"/>
        <v>#REF!</v>
      </c>
      <c r="K61" s="53" t="e">
        <f>+#REF!</f>
        <v>#REF!</v>
      </c>
    </row>
    <row r="62" spans="1:12" x14ac:dyDescent="0.2">
      <c r="A62" s="1"/>
      <c r="B62" s="1"/>
      <c r="C62" s="1"/>
      <c r="D62" s="1" t="s">
        <v>129</v>
      </c>
      <c r="E62" s="53" t="e">
        <f>+'Income Statement'!#REF!</f>
        <v>#REF!</v>
      </c>
      <c r="F62" s="53" t="e">
        <f>+'Income Statement'!#REF!</f>
        <v>#REF!</v>
      </c>
      <c r="G62" s="24" t="e">
        <f t="shared" si="2"/>
        <v>#REF!</v>
      </c>
      <c r="H62" s="53" t="e">
        <f>+'Income Statement'!#REF!</f>
        <v>#REF!</v>
      </c>
      <c r="I62" s="53" t="e">
        <f>+'Income Statement'!#REF!</f>
        <v>#REF!</v>
      </c>
      <c r="J62" s="24" t="e">
        <f t="shared" si="5"/>
        <v>#REF!</v>
      </c>
      <c r="K62" s="53" t="e">
        <f>+#REF!</f>
        <v>#REF!</v>
      </c>
    </row>
    <row r="63" spans="1:12" x14ac:dyDescent="0.2">
      <c r="A63" s="1"/>
      <c r="B63" s="1"/>
      <c r="C63" s="1"/>
      <c r="D63" s="1" t="s">
        <v>130</v>
      </c>
      <c r="E63" s="53" t="e">
        <f>+'Income Statement'!#REF!</f>
        <v>#REF!</v>
      </c>
      <c r="F63" s="53" t="e">
        <f>+'Income Statement'!#REF!</f>
        <v>#REF!</v>
      </c>
      <c r="G63" s="24" t="e">
        <f t="shared" si="2"/>
        <v>#REF!</v>
      </c>
      <c r="H63" s="53" t="e">
        <f>+'Income Statement'!#REF!</f>
        <v>#REF!</v>
      </c>
      <c r="I63" s="53" t="e">
        <f>+'Income Statement'!#REF!</f>
        <v>#REF!</v>
      </c>
      <c r="J63" s="24" t="e">
        <f t="shared" si="5"/>
        <v>#REF!</v>
      </c>
      <c r="K63" s="53" t="e">
        <f>+#REF!</f>
        <v>#REF!</v>
      </c>
    </row>
    <row r="64" spans="1:12" ht="16" x14ac:dyDescent="0.2">
      <c r="A64" s="1"/>
      <c r="B64" s="1"/>
      <c r="C64" s="1"/>
      <c r="D64" s="1" t="s">
        <v>131</v>
      </c>
      <c r="E64" s="53" t="e">
        <f>+'Income Statement'!#REF!</f>
        <v>#REF!</v>
      </c>
      <c r="F64" s="53" t="e">
        <f>+'Income Statement'!#REF!</f>
        <v>#REF!</v>
      </c>
      <c r="G64" s="24" t="e">
        <f t="shared" si="2"/>
        <v>#REF!</v>
      </c>
      <c r="H64" s="53" t="e">
        <f>+'Income Statement'!#REF!</f>
        <v>#REF!</v>
      </c>
      <c r="I64" s="53" t="e">
        <f>+'Income Statement'!#REF!</f>
        <v>#REF!</v>
      </c>
      <c r="J64" s="24" t="e">
        <f t="shared" si="5"/>
        <v>#REF!</v>
      </c>
      <c r="K64" s="53" t="e">
        <f>+#REF!</f>
        <v>#REF!</v>
      </c>
      <c r="L64" s="57" t="s">
        <v>89</v>
      </c>
    </row>
    <row r="65" spans="1:13" ht="16" x14ac:dyDescent="0.2">
      <c r="A65" s="1"/>
      <c r="B65" s="1"/>
      <c r="C65" s="1"/>
      <c r="D65" s="1" t="s">
        <v>132</v>
      </c>
      <c r="E65" s="53" t="e">
        <f>+'Income Statement'!#REF!</f>
        <v>#REF!</v>
      </c>
      <c r="F65" s="53" t="e">
        <f>+'Income Statement'!#REF!</f>
        <v>#REF!</v>
      </c>
      <c r="G65" s="24" t="e">
        <f t="shared" si="2"/>
        <v>#REF!</v>
      </c>
      <c r="H65" s="53" t="e">
        <f>+'Income Statement'!#REF!</f>
        <v>#REF!</v>
      </c>
      <c r="I65" s="53" t="e">
        <f>+'Income Statement'!#REF!</f>
        <v>#REF!</v>
      </c>
      <c r="J65" s="24" t="e">
        <f t="shared" si="5"/>
        <v>#REF!</v>
      </c>
      <c r="K65" s="53" t="e">
        <f>+#REF!</f>
        <v>#REF!</v>
      </c>
      <c r="L65" s="57" t="s">
        <v>89</v>
      </c>
    </row>
    <row r="66" spans="1:13" x14ac:dyDescent="0.2">
      <c r="A66" s="1"/>
      <c r="B66" s="1"/>
      <c r="C66" s="1"/>
      <c r="D66" s="1" t="s">
        <v>133</v>
      </c>
      <c r="E66" s="53" t="e">
        <f>+'Income Statement'!#REF!</f>
        <v>#REF!</v>
      </c>
      <c r="F66" s="53" t="e">
        <f>+'Income Statement'!#REF!</f>
        <v>#REF!</v>
      </c>
      <c r="G66" s="24" t="e">
        <f t="shared" si="2"/>
        <v>#REF!</v>
      </c>
      <c r="H66" s="53" t="e">
        <f>+'Income Statement'!#REF!</f>
        <v>#REF!</v>
      </c>
      <c r="I66" s="53" t="e">
        <f>+'Income Statement'!#REF!</f>
        <v>#REF!</v>
      </c>
      <c r="J66" s="24" t="e">
        <f t="shared" si="5"/>
        <v>#REF!</v>
      </c>
      <c r="K66" s="53" t="e">
        <f>+#REF!</f>
        <v>#REF!</v>
      </c>
      <c r="L66" s="57"/>
    </row>
    <row r="67" spans="1:13" x14ac:dyDescent="0.2">
      <c r="A67" s="1"/>
      <c r="B67" s="1"/>
      <c r="C67" s="1"/>
      <c r="D67" s="1" t="s">
        <v>134</v>
      </c>
      <c r="E67" s="53" t="e">
        <f>+'Income Statement'!#REF!</f>
        <v>#REF!</v>
      </c>
      <c r="F67" s="53" t="e">
        <f>+'Income Statement'!#REF!</f>
        <v>#REF!</v>
      </c>
      <c r="G67" s="24" t="e">
        <f t="shared" si="2"/>
        <v>#REF!</v>
      </c>
      <c r="H67" s="53" t="e">
        <f>+'Income Statement'!#REF!</f>
        <v>#REF!</v>
      </c>
      <c r="I67" s="53" t="e">
        <f>+'Income Statement'!#REF!</f>
        <v>#REF!</v>
      </c>
      <c r="J67" s="24" t="e">
        <f t="shared" si="5"/>
        <v>#REF!</v>
      </c>
      <c r="K67" s="53" t="e">
        <f>+#REF!</f>
        <v>#REF!</v>
      </c>
    </row>
    <row r="68" spans="1:13" x14ac:dyDescent="0.2">
      <c r="A68" s="1"/>
      <c r="B68" s="1"/>
      <c r="C68" s="1"/>
      <c r="D68" s="1" t="s">
        <v>135</v>
      </c>
      <c r="E68" s="140" t="e">
        <f>+'Income Statement'!#REF!</f>
        <v>#REF!</v>
      </c>
      <c r="F68" s="140" t="e">
        <f>+'Income Statement'!#REF!</f>
        <v>#REF!</v>
      </c>
      <c r="G68" s="26" t="e">
        <f t="shared" si="2"/>
        <v>#REF!</v>
      </c>
      <c r="H68" s="140" t="e">
        <f>+'Income Statement'!#REF!</f>
        <v>#REF!</v>
      </c>
      <c r="I68" s="140" t="e">
        <f>+'Income Statement'!#REF!</f>
        <v>#REF!</v>
      </c>
      <c r="J68" s="26" t="e">
        <f t="shared" si="5"/>
        <v>#REF!</v>
      </c>
      <c r="K68" s="140" t="e">
        <f>+#REF!</f>
        <v>#REF!</v>
      </c>
    </row>
    <row r="69" spans="1:13" x14ac:dyDescent="0.2">
      <c r="A69" s="1"/>
      <c r="B69" s="1"/>
      <c r="C69" s="1" t="s">
        <v>136</v>
      </c>
      <c r="D69" s="1"/>
      <c r="E69" s="53" t="e">
        <f>SUM(E58:E68)</f>
        <v>#REF!</v>
      </c>
      <c r="F69" s="53" t="e">
        <f>SUM(F58:F68)</f>
        <v>#REF!</v>
      </c>
      <c r="G69" s="24" t="e">
        <f t="shared" si="2"/>
        <v>#REF!</v>
      </c>
      <c r="H69" s="53" t="e">
        <f>SUM(H58:H68)</f>
        <v>#REF!</v>
      </c>
      <c r="I69" s="53" t="e">
        <f>SUM(I58:I68)</f>
        <v>#REF!</v>
      </c>
      <c r="J69" s="24" t="e">
        <f t="shared" si="5"/>
        <v>#REF!</v>
      </c>
      <c r="K69" s="53" t="e">
        <f>SUM(K58:K68)</f>
        <v>#REF!</v>
      </c>
    </row>
    <row r="70" spans="1:13" x14ac:dyDescent="0.2">
      <c r="A70" s="1"/>
      <c r="B70" s="1"/>
      <c r="C70" s="1"/>
      <c r="D70" s="1"/>
      <c r="F70" s="53"/>
      <c r="G70" s="24"/>
      <c r="H70" s="53"/>
      <c r="I70" s="53"/>
      <c r="J70" s="24"/>
      <c r="K70" s="53"/>
    </row>
    <row r="71" spans="1:13" x14ac:dyDescent="0.2">
      <c r="A71" s="1"/>
      <c r="B71" s="1"/>
      <c r="C71" s="1" t="s">
        <v>137</v>
      </c>
      <c r="D71" s="1"/>
      <c r="E71" s="53" t="e">
        <f>+'Income Statement'!#REF!</f>
        <v>#REF!</v>
      </c>
      <c r="F71" s="53" t="e">
        <f>+'Income Statement'!#REF!</f>
        <v>#REF!</v>
      </c>
      <c r="G71" s="24" t="e">
        <f>+F71-E71</f>
        <v>#REF!</v>
      </c>
      <c r="H71" s="53" t="e">
        <f>+'Income Statement'!#REF!</f>
        <v>#REF!</v>
      </c>
      <c r="I71" s="53" t="e">
        <f>+'Income Statement'!#REF!</f>
        <v>#REF!</v>
      </c>
      <c r="J71" s="24" t="e">
        <f t="shared" si="5"/>
        <v>#REF!</v>
      </c>
      <c r="K71" s="53" t="e">
        <f>+#REF!</f>
        <v>#REF!</v>
      </c>
    </row>
    <row r="72" spans="1:13" ht="30" customHeight="1" x14ac:dyDescent="0.2">
      <c r="A72" s="1"/>
      <c r="B72" s="1" t="s">
        <v>138</v>
      </c>
      <c r="C72" s="1"/>
      <c r="D72" s="1"/>
      <c r="E72" s="53" t="e">
        <f>+E69+E56+E40+E25+E71+E47</f>
        <v>#REF!</v>
      </c>
      <c r="F72" s="53" t="e">
        <f>+F69+F56+F40+F25+F71+F47</f>
        <v>#REF!</v>
      </c>
      <c r="G72" s="24" t="e">
        <f>+F72-E72</f>
        <v>#REF!</v>
      </c>
      <c r="H72" s="53" t="e">
        <f>+H69+H56+H40+H25+H71+H47</f>
        <v>#REF!</v>
      </c>
      <c r="I72" s="53" t="e">
        <f>+I69+I56+I40+I25+I71+I47</f>
        <v>#REF!</v>
      </c>
      <c r="J72" s="24" t="e">
        <f>+I72-H72</f>
        <v>#REF!</v>
      </c>
      <c r="K72" s="53" t="e">
        <f>+K25+K40+K47+K56+K69+K71</f>
        <v>#REF!</v>
      </c>
      <c r="L72" s="7"/>
    </row>
    <row r="73" spans="1:13" ht="15" customHeight="1" x14ac:dyDescent="0.2">
      <c r="A73" s="1"/>
      <c r="B73" s="1"/>
      <c r="C73" s="1"/>
      <c r="D73" s="1"/>
      <c r="F73" s="53"/>
      <c r="G73" s="24">
        <f>+F73-E73</f>
        <v>0</v>
      </c>
      <c r="H73" s="53"/>
      <c r="I73" s="53"/>
      <c r="J73" s="24">
        <f>+I73-H73</f>
        <v>0</v>
      </c>
      <c r="K73" s="53"/>
    </row>
    <row r="74" spans="1:13" s="3" customFormat="1" ht="29.25" customHeight="1" x14ac:dyDescent="0.2">
      <c r="B74" s="1"/>
      <c r="C74" s="1"/>
      <c r="D74" s="1" t="s">
        <v>139</v>
      </c>
      <c r="E74" s="11" t="e">
        <f>+'Income Statement'!#REF!</f>
        <v>#REF!</v>
      </c>
      <c r="F74" s="11" t="e">
        <f>+'Income Statement'!#REF!</f>
        <v>#REF!</v>
      </c>
      <c r="G74" s="26" t="e">
        <f>+F74-E74</f>
        <v>#REF!</v>
      </c>
      <c r="H74" s="11">
        <f>+'Income Statement'!E44</f>
        <v>151029.79999999999</v>
      </c>
      <c r="I74" s="11" t="e">
        <f>+'Income Statement'!#REF!</f>
        <v>#REF!</v>
      </c>
      <c r="J74" s="26" t="e">
        <f>+I74-H74</f>
        <v>#REF!</v>
      </c>
      <c r="K74" s="11" t="e">
        <f>+#REF!</f>
        <v>#REF!</v>
      </c>
      <c r="L74" s="57"/>
    </row>
    <row r="75" spans="1:13" x14ac:dyDescent="0.2">
      <c r="F75" s="53"/>
      <c r="G75" s="24">
        <f>+F75-E75</f>
        <v>0</v>
      </c>
      <c r="H75" s="53"/>
      <c r="I75" s="53"/>
      <c r="J75" s="24">
        <f>+I75-H75</f>
        <v>0</v>
      </c>
      <c r="K75" s="53"/>
    </row>
    <row r="76" spans="1:13" ht="16" thickBot="1" x14ac:dyDescent="0.25">
      <c r="D76" s="3" t="s">
        <v>67</v>
      </c>
      <c r="E76" s="19" t="e">
        <f>+E13-E72-E74</f>
        <v>#REF!</v>
      </c>
      <c r="F76" s="19" t="e">
        <f>+F13-F72-F74</f>
        <v>#REF!</v>
      </c>
      <c r="G76" s="51" t="e">
        <f>+E76-F76</f>
        <v>#REF!</v>
      </c>
      <c r="H76" s="19" t="e">
        <f>+H13-H72-H74</f>
        <v>#REF!</v>
      </c>
      <c r="I76" s="19" t="e">
        <f>+I13-I72-I74</f>
        <v>#REF!</v>
      </c>
      <c r="J76" s="51" t="e">
        <f>+H76-I76</f>
        <v>#REF!</v>
      </c>
      <c r="K76" s="19" t="e">
        <f>+K13-K72-K74</f>
        <v>#REF!</v>
      </c>
    </row>
    <row r="77" spans="1:13" ht="16" thickTop="1" x14ac:dyDescent="0.2">
      <c r="E77" s="53" t="e">
        <f>+'Income Statement'!#REF!</f>
        <v>#REF!</v>
      </c>
      <c r="F77" s="53" t="e">
        <f>+'Income Statement'!#REF!</f>
        <v>#REF!</v>
      </c>
      <c r="G77" s="53"/>
      <c r="H77" s="53" t="e">
        <f>+'Income Statement'!#REF!</f>
        <v>#REF!</v>
      </c>
      <c r="I77" s="53" t="e">
        <f>+'Income Statement'!#REF!</f>
        <v>#REF!</v>
      </c>
      <c r="J77" s="53"/>
      <c r="K77" s="53"/>
    </row>
    <row r="78" spans="1:13" x14ac:dyDescent="0.2">
      <c r="E78" s="53" t="e">
        <f>+E77-E76</f>
        <v>#REF!</v>
      </c>
      <c r="F78" s="53" t="e">
        <f>+F77-F76</f>
        <v>#REF!</v>
      </c>
      <c r="G78" s="53"/>
      <c r="H78" s="53" t="e">
        <f>+H77-H76</f>
        <v>#REF!</v>
      </c>
      <c r="I78" s="53" t="e">
        <f>+I77-I76</f>
        <v>#REF!</v>
      </c>
      <c r="J78" s="53"/>
      <c r="K78" s="53"/>
      <c r="L78" s="8"/>
      <c r="M78" s="8"/>
    </row>
    <row r="79" spans="1:13" x14ac:dyDescent="0.2">
      <c r="H79" s="53"/>
      <c r="I79" s="53"/>
      <c r="J79" s="53"/>
      <c r="K79" s="53"/>
    </row>
    <row r="82" spans="8:9" x14ac:dyDescent="0.2">
      <c r="I82" s="53"/>
    </row>
    <row r="83" spans="8:9" x14ac:dyDescent="0.2">
      <c r="H83" s="9">
        <v>0</v>
      </c>
    </row>
    <row r="85" spans="8:9" x14ac:dyDescent="0.2">
      <c r="H85" s="9" t="s">
        <v>140</v>
      </c>
    </row>
  </sheetData>
  <mergeCells count="3">
    <mergeCell ref="A1:K1"/>
    <mergeCell ref="A2:K2"/>
    <mergeCell ref="A3:K3"/>
  </mergeCells>
  <printOptions horizontalCentered="1" verticalCentered="1"/>
  <pageMargins left="0" right="0.25" top="0" bottom="0" header="0" footer="0"/>
  <pageSetup scale="69" fitToHeight="2" orientation="landscape" r:id="rId1"/>
  <headerFooter>
    <oddFooter>&amp;CFor Internal Use Only
&amp;R&amp;Z&amp;F</oddFooter>
  </headerFooter>
  <rowBreaks count="1" manualBreakCount="1">
    <brk id="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F5" sqref="F5:F23"/>
    </sheetView>
  </sheetViews>
  <sheetFormatPr baseColWidth="10" defaultColWidth="8.83203125" defaultRowHeight="15" x14ac:dyDescent="0.2"/>
  <cols>
    <col min="1" max="1" width="3.83203125" customWidth="1"/>
    <col min="4" max="4" width="3.5" customWidth="1"/>
    <col min="5" max="5" width="28.6640625" customWidth="1"/>
    <col min="6" max="6" width="18.33203125" customWidth="1"/>
    <col min="7" max="7" width="16.1640625" customWidth="1"/>
    <col min="8" max="8" width="23" bestFit="1" customWidth="1"/>
    <col min="9" max="9" width="7" bestFit="1" customWidth="1"/>
    <col min="10" max="10" width="9.1640625" bestFit="1" customWidth="1"/>
  </cols>
  <sheetData>
    <row r="1" spans="1:10" ht="16" x14ac:dyDescent="0.2">
      <c r="A1" s="108" t="s">
        <v>141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6" x14ac:dyDescent="0.2">
      <c r="A2" s="110"/>
      <c r="B2" s="108" t="s">
        <v>142</v>
      </c>
      <c r="C2" s="110"/>
      <c r="D2" s="110"/>
      <c r="E2" s="4"/>
      <c r="F2" s="110"/>
      <c r="G2" s="124">
        <f ca="1">TODAY()</f>
        <v>44782</v>
      </c>
      <c r="H2" s="4"/>
      <c r="I2" s="4"/>
      <c r="J2" s="4"/>
    </row>
    <row r="3" spans="1:10" x14ac:dyDescent="0.2">
      <c r="A3" s="1"/>
      <c r="B3" s="1"/>
      <c r="C3" s="1"/>
      <c r="D3" s="1"/>
      <c r="F3" s="5" t="s">
        <v>143</v>
      </c>
      <c r="G3" s="115" t="s">
        <v>144</v>
      </c>
    </row>
    <row r="4" spans="1:10" x14ac:dyDescent="0.2">
      <c r="A4" s="112"/>
      <c r="C4" s="111"/>
      <c r="D4" s="1"/>
      <c r="E4" s="1"/>
      <c r="F4" s="116"/>
      <c r="G4" s="115"/>
    </row>
    <row r="5" spans="1:10" x14ac:dyDescent="0.2">
      <c r="A5" s="112"/>
      <c r="B5" s="112"/>
      <c r="C5" s="113">
        <v>41670</v>
      </c>
      <c r="D5" s="112"/>
      <c r="E5" s="112" t="s">
        <v>145</v>
      </c>
      <c r="F5" s="115">
        <f>690+690</f>
        <v>1380</v>
      </c>
      <c r="G5" s="115"/>
    </row>
    <row r="6" spans="1:10" x14ac:dyDescent="0.2">
      <c r="A6" s="112"/>
      <c r="B6" s="112"/>
      <c r="C6" s="113">
        <v>41710</v>
      </c>
      <c r="D6" s="112"/>
      <c r="E6" s="112" t="s">
        <v>146</v>
      </c>
      <c r="F6" s="115">
        <f>760+760</f>
        <v>1520</v>
      </c>
      <c r="G6" s="115"/>
    </row>
    <row r="7" spans="1:10" x14ac:dyDescent="0.2">
      <c r="A7" s="112"/>
      <c r="B7" s="112"/>
      <c r="C7" s="113">
        <v>41737</v>
      </c>
      <c r="D7" s="112"/>
      <c r="E7" s="112" t="s">
        <v>147</v>
      </c>
      <c r="F7" s="115">
        <f>1848.5+1848.5</f>
        <v>3697</v>
      </c>
      <c r="G7" s="115"/>
    </row>
    <row r="8" spans="1:10" x14ac:dyDescent="0.2">
      <c r="A8" s="112"/>
      <c r="B8" s="112"/>
      <c r="C8" s="113">
        <v>41774</v>
      </c>
      <c r="D8" s="112"/>
      <c r="E8" s="112" t="s">
        <v>148</v>
      </c>
      <c r="F8" s="115">
        <f>44.5+44.5</f>
        <v>89</v>
      </c>
      <c r="G8" s="115"/>
    </row>
    <row r="9" spans="1:10" x14ac:dyDescent="0.2">
      <c r="A9" s="112"/>
      <c r="B9" s="112"/>
      <c r="C9" s="113">
        <v>41774</v>
      </c>
      <c r="D9" s="112"/>
      <c r="E9" s="112" t="s">
        <v>149</v>
      </c>
      <c r="F9" s="115">
        <f>3522.5+3522.5</f>
        <v>7045</v>
      </c>
      <c r="G9" s="115"/>
    </row>
    <row r="10" spans="1:10" x14ac:dyDescent="0.2">
      <c r="A10" s="112"/>
      <c r="B10" s="112"/>
      <c r="C10" s="113">
        <v>41790</v>
      </c>
      <c r="D10" s="112"/>
      <c r="E10" s="112" t="s">
        <v>150</v>
      </c>
      <c r="F10" s="115">
        <f>120+120</f>
        <v>240</v>
      </c>
      <c r="G10" s="115"/>
    </row>
    <row r="11" spans="1:10" x14ac:dyDescent="0.2">
      <c r="A11" s="112"/>
      <c r="B11" s="112"/>
      <c r="C11" s="113">
        <v>41790</v>
      </c>
      <c r="D11" s="112"/>
      <c r="E11" s="112" t="s">
        <v>151</v>
      </c>
      <c r="F11" s="115">
        <f>4356.25+4356.25</f>
        <v>8712.5</v>
      </c>
      <c r="G11" s="115"/>
    </row>
    <row r="12" spans="1:10" x14ac:dyDescent="0.2">
      <c r="A12" s="112"/>
      <c r="B12" s="112"/>
      <c r="C12" s="113"/>
      <c r="D12" s="112"/>
      <c r="E12" s="112"/>
      <c r="F12" s="115"/>
      <c r="G12" s="115"/>
    </row>
    <row r="13" spans="1:10" x14ac:dyDescent="0.2">
      <c r="A13" s="112"/>
      <c r="B13" s="112"/>
      <c r="C13" s="113">
        <v>41835</v>
      </c>
      <c r="D13" s="112"/>
      <c r="E13" s="112" t="s">
        <v>152</v>
      </c>
      <c r="F13" s="115">
        <v>160</v>
      </c>
      <c r="G13" s="115">
        <f>+F13</f>
        <v>160</v>
      </c>
    </row>
    <row r="14" spans="1:10" x14ac:dyDescent="0.2">
      <c r="A14" s="112"/>
      <c r="B14" s="112"/>
      <c r="C14" s="113">
        <v>41848</v>
      </c>
      <c r="D14" s="112"/>
      <c r="E14" s="112" t="s">
        <v>153</v>
      </c>
      <c r="F14" s="115">
        <f>2751.11+2751.12</f>
        <v>5502.23</v>
      </c>
      <c r="G14" s="115">
        <f>+F14</f>
        <v>5502.23</v>
      </c>
    </row>
    <row r="15" spans="1:10" x14ac:dyDescent="0.2">
      <c r="A15" s="112"/>
      <c r="B15" s="112"/>
      <c r="C15" s="113">
        <v>41863</v>
      </c>
      <c r="D15" s="112"/>
      <c r="E15" s="112" t="s">
        <v>154</v>
      </c>
      <c r="F15" s="115">
        <v>200</v>
      </c>
      <c r="G15" s="115">
        <f>+F15</f>
        <v>200</v>
      </c>
    </row>
    <row r="16" spans="1:10" x14ac:dyDescent="0.2">
      <c r="A16" s="112"/>
      <c r="B16" s="112"/>
      <c r="C16" s="113">
        <v>41870</v>
      </c>
      <c r="D16" s="112"/>
      <c r="E16" s="112" t="s">
        <v>155</v>
      </c>
      <c r="F16" s="115">
        <f>5356.25+5356.25</f>
        <v>10712.5</v>
      </c>
      <c r="G16" s="115">
        <f>+F16</f>
        <v>10712.5</v>
      </c>
    </row>
    <row r="17" spans="1:7" x14ac:dyDescent="0.2">
      <c r="A17" s="112"/>
      <c r="B17" s="112"/>
      <c r="C17" s="113">
        <v>41897</v>
      </c>
      <c r="D17" s="112"/>
      <c r="E17" s="112" t="s">
        <v>156</v>
      </c>
      <c r="F17" s="118">
        <v>1404.5</v>
      </c>
      <c r="G17" s="118">
        <v>1404.5</v>
      </c>
    </row>
    <row r="18" spans="1:7" x14ac:dyDescent="0.2">
      <c r="A18" s="112"/>
      <c r="B18" s="112"/>
      <c r="C18" s="113">
        <v>41912</v>
      </c>
      <c r="D18" s="112"/>
      <c r="E18" s="112" t="s">
        <v>157</v>
      </c>
      <c r="F18" s="115">
        <v>240</v>
      </c>
      <c r="G18" s="115">
        <f t="shared" ref="G18:G23" si="0">+F18</f>
        <v>240</v>
      </c>
    </row>
    <row r="19" spans="1:7" x14ac:dyDescent="0.2">
      <c r="A19" s="112"/>
      <c r="B19" s="112"/>
      <c r="C19" s="113">
        <v>41912</v>
      </c>
      <c r="D19" s="112"/>
      <c r="E19" s="112" t="s">
        <v>158</v>
      </c>
      <c r="F19" s="115">
        <v>4979.5</v>
      </c>
      <c r="G19" s="115">
        <f t="shared" si="0"/>
        <v>4979.5</v>
      </c>
    </row>
    <row r="20" spans="1:7" x14ac:dyDescent="0.2">
      <c r="A20" s="112"/>
      <c r="B20" s="112"/>
      <c r="C20" s="113">
        <v>41943</v>
      </c>
      <c r="D20" s="112"/>
      <c r="E20" s="112" t="s">
        <v>159</v>
      </c>
      <c r="F20" s="115">
        <v>9120.5</v>
      </c>
      <c r="G20" s="114">
        <f t="shared" si="0"/>
        <v>9120.5</v>
      </c>
    </row>
    <row r="21" spans="1:7" x14ac:dyDescent="0.2">
      <c r="A21" s="112"/>
      <c r="B21" s="112"/>
      <c r="C21" s="113">
        <v>41981</v>
      </c>
      <c r="D21" s="112"/>
      <c r="E21" s="112" t="s">
        <v>160</v>
      </c>
      <c r="F21" s="115">
        <v>655</v>
      </c>
      <c r="G21" s="114">
        <f t="shared" si="0"/>
        <v>655</v>
      </c>
    </row>
    <row r="22" spans="1:7" x14ac:dyDescent="0.2">
      <c r="A22" s="112"/>
      <c r="B22" s="112"/>
      <c r="C22" s="113">
        <v>41984</v>
      </c>
      <c r="D22" s="112"/>
      <c r="E22" s="112" t="s">
        <v>161</v>
      </c>
      <c r="F22" s="115">
        <v>-825</v>
      </c>
      <c r="G22" s="114">
        <f t="shared" si="0"/>
        <v>-825</v>
      </c>
    </row>
    <row r="23" spans="1:7" x14ac:dyDescent="0.2">
      <c r="A23" s="112"/>
      <c r="B23" s="112"/>
      <c r="C23" s="113">
        <v>42035</v>
      </c>
      <c r="D23" s="112"/>
      <c r="E23" s="112" t="s">
        <v>162</v>
      </c>
      <c r="F23" s="115">
        <v>1000</v>
      </c>
      <c r="G23" s="114">
        <f t="shared" si="0"/>
        <v>1000</v>
      </c>
    </row>
    <row r="25" spans="1:7" ht="16" thickBot="1" x14ac:dyDescent="0.25">
      <c r="F25" s="117">
        <f>SUM(F5:F24)</f>
        <v>55832.729999999996</v>
      </c>
      <c r="G25" s="117">
        <f>SUM(G5:G24)</f>
        <v>33149.229999999996</v>
      </c>
    </row>
    <row r="26" spans="1:7" ht="16" thickTop="1" x14ac:dyDescent="0.2">
      <c r="F26" s="8" t="e">
        <f>+'Income Statement'!#REF!</f>
        <v>#REF!</v>
      </c>
    </row>
    <row r="27" spans="1:7" x14ac:dyDescent="0.2">
      <c r="F27" s="137" t="e">
        <f>+F26-F25</f>
        <v>#REF!</v>
      </c>
    </row>
  </sheetData>
  <pageMargins left="0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7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20" sqref="G20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32.6640625" style="3" customWidth="1"/>
    <col min="5" max="5" width="14.33203125" style="9" customWidth="1"/>
    <col min="6" max="6" width="13.1640625" style="9" customWidth="1"/>
    <col min="7" max="7" width="13.33203125" style="9" customWidth="1"/>
    <col min="8" max="8" width="11.83203125" style="9" customWidth="1"/>
    <col min="9" max="9" width="13.5" style="9" customWidth="1"/>
    <col min="10" max="10" width="16.33203125" style="9" customWidth="1"/>
    <col min="11" max="11" width="15" style="27" customWidth="1"/>
    <col min="12" max="12" width="16.33203125" style="9" customWidth="1"/>
    <col min="13" max="14" width="15" style="27" customWidth="1"/>
    <col min="15" max="15" width="15.5" style="27" customWidth="1"/>
    <col min="16" max="16" width="14.33203125" style="27" customWidth="1"/>
    <col min="17" max="17" width="28.5" customWidth="1"/>
    <col min="18" max="18" width="35.5" customWidth="1"/>
  </cols>
  <sheetData>
    <row r="1" spans="1:19" ht="20" x14ac:dyDescent="0.2">
      <c r="A1" s="240" t="s">
        <v>68</v>
      </c>
      <c r="B1" s="240"/>
      <c r="C1" s="240"/>
      <c r="D1" s="240"/>
      <c r="E1" s="240"/>
      <c r="F1" s="240"/>
      <c r="G1" s="240"/>
      <c r="H1" s="240"/>
      <c r="I1" s="240"/>
      <c r="J1" s="240"/>
      <c r="K1" s="225"/>
      <c r="L1" s="225"/>
      <c r="M1" s="225"/>
      <c r="N1" s="225"/>
      <c r="O1" s="225"/>
      <c r="P1" s="225"/>
      <c r="S1">
        <v>12</v>
      </c>
    </row>
    <row r="2" spans="1:19" ht="21" customHeight="1" x14ac:dyDescent="0.2">
      <c r="A2" s="241" t="s">
        <v>69</v>
      </c>
      <c r="B2" s="241"/>
      <c r="C2" s="241"/>
      <c r="D2" s="241"/>
      <c r="E2" s="241"/>
      <c r="F2" s="241"/>
      <c r="G2" s="241"/>
      <c r="H2" s="241"/>
      <c r="I2" s="241"/>
      <c r="J2" s="241"/>
      <c r="K2" s="226"/>
      <c r="L2" s="226"/>
      <c r="M2" s="226"/>
      <c r="N2" s="226"/>
      <c r="O2" s="226"/>
      <c r="P2" s="226"/>
    </row>
    <row r="3" spans="1:19" ht="20" x14ac:dyDescent="0.2">
      <c r="A3" s="241" t="str">
        <f>+'Income Statement'!A4:H4</f>
        <v>FOR THE  FISCAL YEAR ENDING JULY 31, 2023</v>
      </c>
      <c r="B3" s="242"/>
      <c r="C3" s="242"/>
      <c r="D3" s="242"/>
      <c r="E3" s="242"/>
      <c r="F3" s="242"/>
      <c r="G3" s="242"/>
      <c r="H3" s="242"/>
      <c r="I3" s="242"/>
      <c r="J3" s="242"/>
      <c r="K3" s="227"/>
      <c r="L3" s="227"/>
      <c r="M3" s="227"/>
      <c r="N3" s="227"/>
      <c r="O3" s="227"/>
      <c r="P3" s="227"/>
    </row>
    <row r="4" spans="1:19" x14ac:dyDescent="0.2">
      <c r="A4" s="2"/>
      <c r="B4" s="1"/>
      <c r="C4" s="1"/>
      <c r="D4" s="1"/>
    </row>
    <row r="5" spans="1:19" ht="16" thickBot="1" x14ac:dyDescent="0.25">
      <c r="A5" s="2"/>
      <c r="B5" s="1"/>
      <c r="C5" s="1"/>
      <c r="D5" s="1"/>
      <c r="O5" s="243" t="s">
        <v>163</v>
      </c>
      <c r="P5" s="243"/>
    </row>
    <row r="6" spans="1:19" ht="42" customHeight="1" x14ac:dyDescent="0.2">
      <c r="A6" s="1"/>
      <c r="B6" s="1"/>
      <c r="C6" s="1"/>
      <c r="D6" s="1"/>
      <c r="E6" s="69" t="s">
        <v>164</v>
      </c>
      <c r="F6" s="70" t="s">
        <v>165</v>
      </c>
      <c r="G6" s="70" t="s">
        <v>166</v>
      </c>
      <c r="H6" s="70" t="s">
        <v>167</v>
      </c>
      <c r="I6" s="69" t="s">
        <v>168</v>
      </c>
      <c r="J6" s="81" t="s">
        <v>168</v>
      </c>
      <c r="K6" s="89" t="s">
        <v>169</v>
      </c>
      <c r="L6" s="74" t="s">
        <v>170</v>
      </c>
      <c r="M6" s="89" t="s">
        <v>171</v>
      </c>
      <c r="N6" s="89" t="s">
        <v>171</v>
      </c>
      <c r="O6" s="71" t="s">
        <v>172</v>
      </c>
      <c r="P6" s="71" t="s">
        <v>173</v>
      </c>
    </row>
    <row r="7" spans="1:19" s="5" customFormat="1" x14ac:dyDescent="0.2">
      <c r="A7" s="4"/>
      <c r="B7" s="4"/>
      <c r="C7" s="4"/>
      <c r="D7" s="4"/>
      <c r="E7" s="21" t="s">
        <v>10</v>
      </c>
      <c r="F7" s="21" t="s">
        <v>10</v>
      </c>
      <c r="G7" s="21" t="s">
        <v>174</v>
      </c>
      <c r="H7" s="21" t="s">
        <v>174</v>
      </c>
      <c r="I7" s="21" t="s">
        <v>175</v>
      </c>
      <c r="J7" s="82" t="s">
        <v>13</v>
      </c>
      <c r="K7" s="22" t="s">
        <v>168</v>
      </c>
      <c r="L7" s="75" t="s">
        <v>176</v>
      </c>
      <c r="M7" s="22"/>
      <c r="N7" s="22"/>
      <c r="O7" s="72" t="s">
        <v>10</v>
      </c>
      <c r="P7" s="72" t="s">
        <v>177</v>
      </c>
      <c r="Q7" s="5" t="s">
        <v>178</v>
      </c>
      <c r="R7" s="5" t="s">
        <v>179</v>
      </c>
    </row>
    <row r="8" spans="1:19" x14ac:dyDescent="0.2">
      <c r="A8" s="1"/>
      <c r="B8" s="1" t="s">
        <v>16</v>
      </c>
      <c r="C8" s="1"/>
      <c r="D8" s="1"/>
      <c r="J8" s="83"/>
      <c r="K8" s="22" t="s">
        <v>180</v>
      </c>
      <c r="L8" s="75" t="s">
        <v>13</v>
      </c>
      <c r="M8" s="22" t="s">
        <v>180</v>
      </c>
      <c r="N8" s="22" t="s">
        <v>181</v>
      </c>
    </row>
    <row r="9" spans="1:19" x14ac:dyDescent="0.2">
      <c r="A9" s="1"/>
      <c r="B9" s="1"/>
      <c r="C9" s="1"/>
      <c r="D9" s="1" t="s">
        <v>74</v>
      </c>
      <c r="E9" s="53">
        <f>+'Income Statement'!E10</f>
        <v>216247.86</v>
      </c>
      <c r="F9" s="53" t="e">
        <f>+'Income Statement'!#REF!</f>
        <v>#REF!</v>
      </c>
      <c r="G9" s="53" t="e">
        <f>+'Income Statement'!#REF!</f>
        <v>#REF!</v>
      </c>
      <c r="H9" s="53" t="e">
        <f>+'Income Statement'!#REF!</f>
        <v>#REF!</v>
      </c>
      <c r="I9" s="53" t="e">
        <f>+E9+F9+G9+H9</f>
        <v>#REF!</v>
      </c>
      <c r="J9" s="84" t="e">
        <f>+#REF!</f>
        <v>#REF!</v>
      </c>
      <c r="K9" s="24" t="e">
        <f t="shared" ref="K9:K16" si="0">+I9-J9</f>
        <v>#REF!</v>
      </c>
      <c r="L9" s="76" t="e">
        <f>+L80-L12</f>
        <v>#REF!</v>
      </c>
      <c r="M9" s="24" t="e">
        <f>+L9-J9</f>
        <v>#REF!</v>
      </c>
      <c r="N9" s="90">
        <f t="shared" ref="N9:N16" si="1">IFERROR(+M9/J9,0)</f>
        <v>0</v>
      </c>
      <c r="O9" s="54">
        <v>394592</v>
      </c>
      <c r="P9" s="54">
        <v>394592</v>
      </c>
    </row>
    <row r="10" spans="1:19" x14ac:dyDescent="0.2">
      <c r="A10" s="1"/>
      <c r="B10" s="1"/>
      <c r="C10" s="1"/>
      <c r="D10" s="1" t="s">
        <v>76</v>
      </c>
      <c r="E10" s="53" t="e">
        <f>+'Income Statement'!#REF!</f>
        <v>#REF!</v>
      </c>
      <c r="F10" s="53" t="e">
        <f>+'Income Statement'!#REF!</f>
        <v>#REF!</v>
      </c>
      <c r="G10" s="53" t="e">
        <f>+'Income Statement'!#REF!</f>
        <v>#REF!</v>
      </c>
      <c r="H10" s="53" t="e">
        <f>+'Income Statement'!#REF!</f>
        <v>#REF!</v>
      </c>
      <c r="I10" s="53" t="e">
        <f t="shared" ref="I10:I16" si="2">+E10+F10+G10+H10</f>
        <v>#REF!</v>
      </c>
      <c r="J10" s="84" t="e">
        <f>+#REF!</f>
        <v>#REF!</v>
      </c>
      <c r="K10" s="24" t="e">
        <f t="shared" si="0"/>
        <v>#REF!</v>
      </c>
      <c r="L10" s="76">
        <v>23408.04</v>
      </c>
      <c r="M10" s="24" t="e">
        <f t="shared" ref="M10:M15" si="3">+L10-J10</f>
        <v>#REF!</v>
      </c>
      <c r="N10" s="90">
        <f t="shared" si="1"/>
        <v>0</v>
      </c>
      <c r="O10" s="54">
        <v>23408</v>
      </c>
      <c r="P10" s="54"/>
    </row>
    <row r="11" spans="1:19" x14ac:dyDescent="0.2">
      <c r="A11" s="1"/>
      <c r="B11" s="1"/>
      <c r="C11" s="1"/>
      <c r="D11" s="1" t="s">
        <v>182</v>
      </c>
      <c r="E11" s="53" t="e">
        <f>+'Income Statement'!#REF!</f>
        <v>#REF!</v>
      </c>
      <c r="F11" s="53"/>
      <c r="G11" s="53">
        <f>22000*44</f>
        <v>968000</v>
      </c>
      <c r="H11" s="53"/>
      <c r="I11" s="53" t="e">
        <f t="shared" si="2"/>
        <v>#REF!</v>
      </c>
      <c r="J11" s="84">
        <v>3168000</v>
      </c>
      <c r="K11" s="24" t="e">
        <f t="shared" si="0"/>
        <v>#REF!</v>
      </c>
      <c r="L11" s="76">
        <f>((22000*44)*2)+(8000*44)</f>
        <v>2288000</v>
      </c>
      <c r="M11" s="24">
        <f t="shared" si="3"/>
        <v>-880000</v>
      </c>
      <c r="N11" s="90">
        <f t="shared" si="1"/>
        <v>-0.27777777777777779</v>
      </c>
      <c r="O11" s="54">
        <f>1232000+440000</f>
        <v>1672000</v>
      </c>
      <c r="P11" s="54"/>
    </row>
    <row r="12" spans="1:19" x14ac:dyDescent="0.2">
      <c r="A12" s="1"/>
      <c r="B12" s="1"/>
      <c r="C12" s="1"/>
      <c r="D12" s="1" t="s">
        <v>183</v>
      </c>
      <c r="E12" s="53">
        <v>1035.72</v>
      </c>
      <c r="F12" s="53" t="e">
        <f>+'Income Statement'!#REF!</f>
        <v>#REF!</v>
      </c>
      <c r="G12" s="53"/>
      <c r="H12" s="53"/>
      <c r="I12" s="53" t="e">
        <f t="shared" si="2"/>
        <v>#REF!</v>
      </c>
      <c r="J12" s="84"/>
      <c r="K12" s="24" t="e">
        <f t="shared" si="0"/>
        <v>#REF!</v>
      </c>
      <c r="L12" s="76"/>
      <c r="M12" s="24">
        <f t="shared" si="3"/>
        <v>0</v>
      </c>
      <c r="N12" s="90">
        <f t="shared" si="1"/>
        <v>0</v>
      </c>
      <c r="O12" s="54"/>
      <c r="P12" s="54"/>
    </row>
    <row r="13" spans="1:19" x14ac:dyDescent="0.2">
      <c r="A13" s="1"/>
      <c r="B13" s="1"/>
      <c r="C13" s="1"/>
      <c r="D13" s="1" t="s">
        <v>184</v>
      </c>
      <c r="E13" s="53" t="e">
        <f>+'Income Statement'!#REF!</f>
        <v>#REF!</v>
      </c>
      <c r="F13" s="53"/>
      <c r="G13" s="53"/>
      <c r="H13" s="53"/>
      <c r="I13" s="53" t="e">
        <f t="shared" si="2"/>
        <v>#REF!</v>
      </c>
      <c r="J13" s="84"/>
      <c r="K13" s="24" t="e">
        <f t="shared" si="0"/>
        <v>#REF!</v>
      </c>
      <c r="L13" s="76"/>
      <c r="M13" s="24">
        <f t="shared" si="3"/>
        <v>0</v>
      </c>
      <c r="N13" s="90">
        <f t="shared" si="1"/>
        <v>0</v>
      </c>
      <c r="O13" s="54"/>
      <c r="P13" s="54"/>
      <c r="Q13" s="57"/>
    </row>
    <row r="14" spans="1:19" x14ac:dyDescent="0.2">
      <c r="A14" s="1"/>
      <c r="B14" s="1"/>
      <c r="C14" s="1"/>
      <c r="D14" s="3" t="s">
        <v>77</v>
      </c>
      <c r="E14" s="53" t="e">
        <f>+'Income Statement'!#REF!</f>
        <v>#REF!</v>
      </c>
      <c r="F14" s="53" t="e">
        <f>+'Income Statement'!#REF!</f>
        <v>#REF!</v>
      </c>
      <c r="G14" s="53">
        <v>7</v>
      </c>
      <c r="H14" s="53">
        <v>5</v>
      </c>
      <c r="I14" s="53" t="e">
        <f t="shared" si="2"/>
        <v>#REF!</v>
      </c>
      <c r="J14" s="85" t="e">
        <f>+#REF!</f>
        <v>#REF!</v>
      </c>
      <c r="K14" s="24" t="e">
        <f t="shared" si="0"/>
        <v>#REF!</v>
      </c>
      <c r="L14" s="77"/>
      <c r="M14" s="24" t="e">
        <f t="shared" si="3"/>
        <v>#REF!</v>
      </c>
      <c r="N14" s="90">
        <f t="shared" si="1"/>
        <v>0</v>
      </c>
      <c r="O14" s="52"/>
      <c r="P14" s="52">
        <v>1735</v>
      </c>
    </row>
    <row r="15" spans="1:19" x14ac:dyDescent="0.2">
      <c r="A15" s="1"/>
      <c r="B15" s="1"/>
      <c r="C15" s="1"/>
      <c r="D15" s="3" t="s">
        <v>31</v>
      </c>
      <c r="E15" s="53">
        <f>+'Income Statement'!E17</f>
        <v>18.440000000000001</v>
      </c>
      <c r="F15" s="53" t="e">
        <f>+'Income Statement'!#REF!</f>
        <v>#REF!</v>
      </c>
      <c r="G15" s="53">
        <v>15</v>
      </c>
      <c r="H15" s="53">
        <v>15</v>
      </c>
      <c r="I15" s="53" t="e">
        <f t="shared" si="2"/>
        <v>#REF!</v>
      </c>
      <c r="J15" s="85"/>
      <c r="K15" s="24" t="e">
        <f t="shared" si="0"/>
        <v>#REF!</v>
      </c>
      <c r="L15" s="77"/>
      <c r="M15" s="24">
        <f t="shared" si="3"/>
        <v>0</v>
      </c>
      <c r="N15" s="90">
        <f t="shared" si="1"/>
        <v>0</v>
      </c>
      <c r="O15" s="52">
        <v>137.01</v>
      </c>
      <c r="P15" s="52"/>
    </row>
    <row r="16" spans="1:19" x14ac:dyDescent="0.2">
      <c r="A16" s="1"/>
      <c r="B16" s="1"/>
      <c r="C16" s="1"/>
      <c r="D16" s="1"/>
      <c r="E16" s="140"/>
      <c r="F16" s="140"/>
      <c r="G16" s="140"/>
      <c r="H16" s="140"/>
      <c r="I16" s="140">
        <f t="shared" si="2"/>
        <v>0</v>
      </c>
      <c r="J16" s="86"/>
      <c r="K16" s="26">
        <f t="shared" si="0"/>
        <v>0</v>
      </c>
      <c r="L16" s="78"/>
      <c r="M16" s="26">
        <f>+L16-J16</f>
        <v>0</v>
      </c>
      <c r="N16" s="91">
        <f t="shared" si="1"/>
        <v>0</v>
      </c>
      <c r="O16" s="73"/>
      <c r="P16" s="73"/>
    </row>
    <row r="17" spans="1:17" x14ac:dyDescent="0.2">
      <c r="A17" s="1"/>
      <c r="B17" s="1"/>
      <c r="C17" s="1" t="s">
        <v>35</v>
      </c>
      <c r="D17" s="1"/>
      <c r="E17" s="53" t="e">
        <f t="shared" ref="E17:O17" si="4">SUM(E9:E16)</f>
        <v>#REF!</v>
      </c>
      <c r="F17" s="53" t="e">
        <f t="shared" si="4"/>
        <v>#REF!</v>
      </c>
      <c r="G17" s="53" t="e">
        <f t="shared" si="4"/>
        <v>#REF!</v>
      </c>
      <c r="H17" s="53" t="e">
        <f t="shared" si="4"/>
        <v>#REF!</v>
      </c>
      <c r="I17" s="53" t="e">
        <f t="shared" si="4"/>
        <v>#REF!</v>
      </c>
      <c r="J17" s="84" t="e">
        <f t="shared" si="4"/>
        <v>#REF!</v>
      </c>
      <c r="K17" s="24" t="e">
        <f>SUM(K9:K16)</f>
        <v>#REF!</v>
      </c>
      <c r="L17" s="76" t="e">
        <f>SUM(L9:L16)</f>
        <v>#REF!</v>
      </c>
      <c r="M17" s="24" t="e">
        <f>SUM(M9:M16)</f>
        <v>#REF!</v>
      </c>
      <c r="N17" s="90">
        <f>SUM(N9:N16)</f>
        <v>-0.27777777777777779</v>
      </c>
      <c r="O17" s="54">
        <f t="shared" si="4"/>
        <v>2090137.01</v>
      </c>
      <c r="P17" s="54">
        <f>SUM(P9:P16)</f>
        <v>396327</v>
      </c>
    </row>
    <row r="18" spans="1:17" ht="18.75" customHeight="1" x14ac:dyDescent="0.2">
      <c r="A18" s="1"/>
      <c r="B18" s="1" t="s">
        <v>78</v>
      </c>
      <c r="C18" s="1"/>
      <c r="D18" s="1"/>
      <c r="E18" s="53"/>
      <c r="F18" s="53"/>
      <c r="G18" s="53"/>
      <c r="H18" s="53"/>
      <c r="I18" s="53"/>
      <c r="J18" s="84"/>
      <c r="K18" s="24"/>
      <c r="L18" s="76"/>
      <c r="M18" s="24"/>
      <c r="N18" s="24"/>
      <c r="O18" s="54"/>
      <c r="P18" s="54"/>
    </row>
    <row r="19" spans="1:17" ht="30" customHeight="1" x14ac:dyDescent="0.2">
      <c r="A19" s="1"/>
      <c r="B19" s="1"/>
      <c r="C19" s="1" t="s">
        <v>79</v>
      </c>
      <c r="D19" s="1"/>
      <c r="E19" s="53"/>
      <c r="F19" s="53"/>
      <c r="G19" s="53"/>
      <c r="H19" s="53"/>
      <c r="I19" s="53"/>
      <c r="J19" s="84"/>
      <c r="K19" s="24"/>
      <c r="L19" s="76"/>
      <c r="M19" s="24"/>
      <c r="N19" s="90"/>
      <c r="O19" s="54"/>
      <c r="P19" s="54"/>
    </row>
    <row r="20" spans="1:17" x14ac:dyDescent="0.2">
      <c r="A20" s="1"/>
      <c r="B20" s="1"/>
      <c r="C20" s="1"/>
      <c r="D20" s="1" t="s">
        <v>185</v>
      </c>
      <c r="E20" s="53" t="e">
        <f>+'Income Statement'!#REF!</f>
        <v>#REF!</v>
      </c>
      <c r="F20" s="53" t="e">
        <f>+'Income Statement'!#REF!</f>
        <v>#REF!</v>
      </c>
      <c r="G20" s="53"/>
      <c r="H20" s="53">
        <v>1800</v>
      </c>
      <c r="I20" s="53" t="e">
        <f t="shared" ref="I20:I82" si="5">+E20+F20+G20+H20</f>
        <v>#REF!</v>
      </c>
      <c r="J20" s="84" t="e">
        <f>+#REF!</f>
        <v>#REF!</v>
      </c>
      <c r="K20" s="24" t="e">
        <f>+J20-L20</f>
        <v>#REF!</v>
      </c>
      <c r="L20" s="76">
        <v>1800</v>
      </c>
      <c r="M20" s="24" t="e">
        <f>+J20-L20</f>
        <v>#REF!</v>
      </c>
      <c r="N20" s="90">
        <f t="shared" ref="N20:N31" si="6">IFERROR(+M20/J20,0)</f>
        <v>0</v>
      </c>
      <c r="O20" s="54">
        <v>1575</v>
      </c>
      <c r="P20" s="54">
        <v>551.25</v>
      </c>
    </row>
    <row r="21" spans="1:17" x14ac:dyDescent="0.2">
      <c r="A21" s="1"/>
      <c r="B21" s="1"/>
      <c r="C21" s="1"/>
      <c r="D21" s="1" t="s">
        <v>80</v>
      </c>
      <c r="E21" s="53" t="e">
        <f>+'Income Statement'!#REF!</f>
        <v>#REF!</v>
      </c>
      <c r="F21" s="53" t="e">
        <f>+'Income Statement'!#REF!</f>
        <v>#REF!</v>
      </c>
      <c r="G21" s="53"/>
      <c r="H21" s="53"/>
      <c r="I21" s="53" t="e">
        <f t="shared" si="5"/>
        <v>#REF!</v>
      </c>
      <c r="J21" s="84" t="e">
        <f>+#REF!</f>
        <v>#REF!</v>
      </c>
      <c r="K21" s="24" t="e">
        <f t="shared" ref="K21:K31" si="7">+J21-I21</f>
        <v>#REF!</v>
      </c>
      <c r="L21" s="76">
        <v>2500</v>
      </c>
      <c r="M21" s="24" t="e">
        <f t="shared" ref="M21:M30" si="8">+J21-L21</f>
        <v>#REF!</v>
      </c>
      <c r="N21" s="90">
        <f t="shared" si="6"/>
        <v>0</v>
      </c>
      <c r="O21" s="54">
        <v>12552.62</v>
      </c>
      <c r="P21" s="54">
        <v>10730.35</v>
      </c>
    </row>
    <row r="22" spans="1:17" x14ac:dyDescent="0.2">
      <c r="A22" s="1"/>
      <c r="B22" s="1"/>
      <c r="C22" s="1"/>
      <c r="D22" s="1" t="s">
        <v>186</v>
      </c>
      <c r="E22" s="53" t="e">
        <f>+'Income Statement'!#REF!</f>
        <v>#REF!</v>
      </c>
      <c r="F22" s="53" t="e">
        <f>+'Income Statement'!#REF!</f>
        <v>#REF!</v>
      </c>
      <c r="G22" s="53"/>
      <c r="H22" s="53"/>
      <c r="I22" s="53" t="e">
        <f t="shared" si="5"/>
        <v>#REF!</v>
      </c>
      <c r="J22" s="84" t="e">
        <f>+#REF!</f>
        <v>#REF!</v>
      </c>
      <c r="K22" s="24" t="e">
        <f t="shared" si="7"/>
        <v>#REF!</v>
      </c>
      <c r="L22" s="76">
        <v>3000</v>
      </c>
      <c r="M22" s="24" t="e">
        <f t="shared" si="8"/>
        <v>#REF!</v>
      </c>
      <c r="N22" s="90">
        <f t="shared" si="6"/>
        <v>0</v>
      </c>
      <c r="O22" s="54"/>
      <c r="P22" s="54">
        <v>2082.7199999999998</v>
      </c>
    </row>
    <row r="23" spans="1:17" x14ac:dyDescent="0.2">
      <c r="A23" s="1"/>
      <c r="B23" s="1"/>
      <c r="C23" s="1"/>
      <c r="D23" s="1" t="s">
        <v>81</v>
      </c>
      <c r="E23" s="53" t="e">
        <f>+'Income Statement'!#REF!</f>
        <v>#REF!</v>
      </c>
      <c r="F23" s="53" t="e">
        <f>+'Income Statement'!#REF!</f>
        <v>#REF!</v>
      </c>
      <c r="G23" s="53"/>
      <c r="H23" s="53"/>
      <c r="I23" s="53" t="e">
        <f t="shared" si="5"/>
        <v>#REF!</v>
      </c>
      <c r="J23" s="84" t="e">
        <f>+#REF!</f>
        <v>#REF!</v>
      </c>
      <c r="K23" s="24" t="e">
        <f t="shared" si="7"/>
        <v>#REF!</v>
      </c>
      <c r="L23" s="76">
        <v>1500</v>
      </c>
      <c r="M23" s="24" t="e">
        <f t="shared" si="8"/>
        <v>#REF!</v>
      </c>
      <c r="N23" s="90">
        <f t="shared" si="6"/>
        <v>0</v>
      </c>
      <c r="O23" s="54">
        <v>2467.5500000000002</v>
      </c>
      <c r="P23" s="54"/>
    </row>
    <row r="24" spans="1:17" x14ac:dyDescent="0.2">
      <c r="A24" s="1"/>
      <c r="B24" s="1"/>
      <c r="C24" s="1"/>
      <c r="D24" s="1" t="s">
        <v>82</v>
      </c>
      <c r="E24" s="53" t="e">
        <f>+'Income Statement'!#REF!</f>
        <v>#REF!</v>
      </c>
      <c r="F24" s="53" t="e">
        <f>+'Income Statement'!#REF!</f>
        <v>#REF!</v>
      </c>
      <c r="G24" s="53">
        <v>200</v>
      </c>
      <c r="H24" s="53">
        <v>200</v>
      </c>
      <c r="I24" s="53" t="e">
        <f t="shared" si="5"/>
        <v>#REF!</v>
      </c>
      <c r="J24" s="84" t="e">
        <f>+#REF!</f>
        <v>#REF!</v>
      </c>
      <c r="K24" s="24" t="e">
        <f t="shared" si="7"/>
        <v>#REF!</v>
      </c>
      <c r="L24" s="76">
        <v>12000</v>
      </c>
      <c r="M24" s="24" t="e">
        <f t="shared" si="8"/>
        <v>#REF!</v>
      </c>
      <c r="N24" s="90">
        <f t="shared" si="6"/>
        <v>0</v>
      </c>
      <c r="O24" s="54">
        <v>243.67</v>
      </c>
      <c r="P24" s="54">
        <f>5936.72+43.75+2945.12+4033.68</f>
        <v>12959.27</v>
      </c>
      <c r="Q24" s="57"/>
    </row>
    <row r="25" spans="1:17" x14ac:dyDescent="0.2">
      <c r="A25" s="1"/>
      <c r="B25" s="1"/>
      <c r="C25" s="1"/>
      <c r="D25" s="1" t="s">
        <v>83</v>
      </c>
      <c r="E25" s="53" t="e">
        <f>+'Income Statement'!#REF!</f>
        <v>#REF!</v>
      </c>
      <c r="F25" s="53" t="e">
        <f>+'Income Statement'!#REF!</f>
        <v>#REF!</v>
      </c>
      <c r="G25" s="53">
        <v>50</v>
      </c>
      <c r="H25" s="53">
        <v>50</v>
      </c>
      <c r="I25" s="53" t="e">
        <f t="shared" si="5"/>
        <v>#REF!</v>
      </c>
      <c r="J25" s="84" t="e">
        <f>+#REF!</f>
        <v>#REF!</v>
      </c>
      <c r="K25" s="24" t="e">
        <f t="shared" si="7"/>
        <v>#REF!</v>
      </c>
      <c r="L25" s="76">
        <v>1750</v>
      </c>
      <c r="M25" s="24" t="e">
        <f t="shared" si="8"/>
        <v>#REF!</v>
      </c>
      <c r="N25" s="90">
        <f t="shared" si="6"/>
        <v>0</v>
      </c>
      <c r="O25" s="54">
        <v>1183.82</v>
      </c>
      <c r="P25" s="54"/>
    </row>
    <row r="26" spans="1:17" x14ac:dyDescent="0.2">
      <c r="A26" s="1"/>
      <c r="B26" s="1"/>
      <c r="C26" s="1"/>
      <c r="D26" s="1" t="s">
        <v>84</v>
      </c>
      <c r="E26" s="53" t="e">
        <f>+'Income Statement'!#REF!</f>
        <v>#REF!</v>
      </c>
      <c r="F26" s="53" t="e">
        <f>+'Income Statement'!#REF!</f>
        <v>#REF!</v>
      </c>
      <c r="G26" s="53"/>
      <c r="H26" s="53"/>
      <c r="I26" s="53" t="e">
        <f t="shared" si="5"/>
        <v>#REF!</v>
      </c>
      <c r="J26" s="84" t="e">
        <f>+#REF!</f>
        <v>#REF!</v>
      </c>
      <c r="K26" s="24" t="e">
        <f t="shared" si="7"/>
        <v>#REF!</v>
      </c>
      <c r="L26" s="76">
        <v>8000</v>
      </c>
      <c r="M26" s="24" t="e">
        <f t="shared" si="8"/>
        <v>#REF!</v>
      </c>
      <c r="N26" s="90">
        <f t="shared" si="6"/>
        <v>0</v>
      </c>
      <c r="O26" s="54">
        <v>3809.75</v>
      </c>
      <c r="P26" s="54">
        <v>4403.3999999999996</v>
      </c>
    </row>
    <row r="27" spans="1:17" x14ac:dyDescent="0.2">
      <c r="A27" s="1"/>
      <c r="B27" s="1"/>
      <c r="C27" s="1"/>
      <c r="D27" s="1" t="s">
        <v>187</v>
      </c>
      <c r="E27" s="53" t="e">
        <f>+'Income Statement'!#REF!</f>
        <v>#REF!</v>
      </c>
      <c r="F27" s="53" t="e">
        <f>+'Income Statement'!#REF!</f>
        <v>#REF!</v>
      </c>
      <c r="G27" s="53"/>
      <c r="H27" s="53"/>
      <c r="I27" s="53" t="e">
        <f t="shared" si="5"/>
        <v>#REF!</v>
      </c>
      <c r="J27" s="84" t="e">
        <f>+#REF!</f>
        <v>#REF!</v>
      </c>
      <c r="K27" s="24" t="e">
        <f t="shared" si="7"/>
        <v>#REF!</v>
      </c>
      <c r="L27" s="76">
        <v>10000</v>
      </c>
      <c r="M27" s="24" t="e">
        <f t="shared" si="8"/>
        <v>#REF!</v>
      </c>
      <c r="N27" s="90">
        <f t="shared" si="6"/>
        <v>0</v>
      </c>
      <c r="O27" s="54">
        <v>1902</v>
      </c>
      <c r="P27" s="54">
        <f>535.02+260+1101.13+2394.89+847.63</f>
        <v>5138.67</v>
      </c>
    </row>
    <row r="28" spans="1:17" x14ac:dyDescent="0.2">
      <c r="A28" s="1"/>
      <c r="B28" s="1"/>
      <c r="C28" s="1"/>
      <c r="D28" s="1" t="s">
        <v>87</v>
      </c>
      <c r="E28" s="53" t="e">
        <f>+'Income Statement'!#REF!</f>
        <v>#REF!</v>
      </c>
      <c r="F28" s="53" t="e">
        <f>+'Income Statement'!#REF!</f>
        <v>#REF!</v>
      </c>
      <c r="G28" s="53"/>
      <c r="H28" s="53"/>
      <c r="I28" s="53" t="e">
        <f t="shared" si="5"/>
        <v>#REF!</v>
      </c>
      <c r="J28" s="84" t="e">
        <f>+#REF!</f>
        <v>#REF!</v>
      </c>
      <c r="K28" s="24" t="e">
        <f t="shared" si="7"/>
        <v>#REF!</v>
      </c>
      <c r="L28" s="76">
        <v>600</v>
      </c>
      <c r="M28" s="24" t="e">
        <f t="shared" si="8"/>
        <v>#REF!</v>
      </c>
      <c r="N28" s="90">
        <f t="shared" si="6"/>
        <v>0</v>
      </c>
      <c r="O28" s="54">
        <v>256.5</v>
      </c>
      <c r="P28" s="54">
        <f>7566.63+8432.92</f>
        <v>15999.55</v>
      </c>
    </row>
    <row r="29" spans="1:17" x14ac:dyDescent="0.2">
      <c r="A29" s="1"/>
      <c r="B29" s="1"/>
      <c r="C29" s="1"/>
      <c r="D29" s="1" t="s">
        <v>88</v>
      </c>
      <c r="E29" s="53" t="e">
        <f>+'Income Statement'!#REF!</f>
        <v>#REF!</v>
      </c>
      <c r="F29" s="53" t="e">
        <f>+'Income Statement'!#REF!</f>
        <v>#REF!</v>
      </c>
      <c r="G29" s="53"/>
      <c r="H29" s="53"/>
      <c r="I29" s="53" t="e">
        <f t="shared" si="5"/>
        <v>#REF!</v>
      </c>
      <c r="J29" s="84" t="e">
        <f>+#REF!</f>
        <v>#REF!</v>
      </c>
      <c r="K29" s="24" t="e">
        <f t="shared" si="7"/>
        <v>#REF!</v>
      </c>
      <c r="L29" s="76">
        <v>15000</v>
      </c>
      <c r="M29" s="24" t="e">
        <f t="shared" si="8"/>
        <v>#REF!</v>
      </c>
      <c r="N29" s="90">
        <f t="shared" si="6"/>
        <v>0</v>
      </c>
      <c r="O29" s="54">
        <v>1912.5</v>
      </c>
      <c r="P29" s="54">
        <v>45</v>
      </c>
    </row>
    <row r="30" spans="1:17" x14ac:dyDescent="0.2">
      <c r="A30" s="1"/>
      <c r="B30" s="1"/>
      <c r="C30" s="1"/>
      <c r="D30" s="1" t="s">
        <v>90</v>
      </c>
      <c r="E30" s="140" t="e">
        <f>+'Income Statement'!#REF!</f>
        <v>#REF!</v>
      </c>
      <c r="F30" s="140" t="e">
        <f>+'Income Statement'!#REF!</f>
        <v>#REF!</v>
      </c>
      <c r="G30" s="140"/>
      <c r="H30" s="140">
        <v>2400</v>
      </c>
      <c r="I30" s="140" t="e">
        <f t="shared" si="5"/>
        <v>#REF!</v>
      </c>
      <c r="J30" s="86" t="e">
        <f>+#REF!</f>
        <v>#REF!</v>
      </c>
      <c r="K30" s="26" t="e">
        <f t="shared" si="7"/>
        <v>#REF!</v>
      </c>
      <c r="L30" s="78">
        <v>6050</v>
      </c>
      <c r="M30" s="26" t="e">
        <f t="shared" si="8"/>
        <v>#REF!</v>
      </c>
      <c r="N30" s="91">
        <f t="shared" si="6"/>
        <v>0</v>
      </c>
      <c r="O30" s="73">
        <v>3075</v>
      </c>
      <c r="P30" s="73">
        <v>3202</v>
      </c>
    </row>
    <row r="31" spans="1:17" x14ac:dyDescent="0.2">
      <c r="A31" s="1"/>
      <c r="B31" s="1"/>
      <c r="C31" s="1" t="s">
        <v>91</v>
      </c>
      <c r="D31" s="1"/>
      <c r="E31" s="53" t="e">
        <f t="shared" ref="E31:O31" si="9">SUM(E20:E30)</f>
        <v>#REF!</v>
      </c>
      <c r="F31" s="53" t="e">
        <f t="shared" si="9"/>
        <v>#REF!</v>
      </c>
      <c r="G31" s="53">
        <f t="shared" si="9"/>
        <v>250</v>
      </c>
      <c r="H31" s="53">
        <f t="shared" si="9"/>
        <v>4450</v>
      </c>
      <c r="I31" s="53" t="e">
        <f t="shared" si="9"/>
        <v>#REF!</v>
      </c>
      <c r="J31" s="84" t="e">
        <f t="shared" si="9"/>
        <v>#REF!</v>
      </c>
      <c r="K31" s="24" t="e">
        <f t="shared" si="7"/>
        <v>#REF!</v>
      </c>
      <c r="L31" s="76">
        <f>SUM(L20:L30)</f>
        <v>62200</v>
      </c>
      <c r="M31" s="24" t="e">
        <f>SUM(M20:M30)</f>
        <v>#REF!</v>
      </c>
      <c r="N31" s="90">
        <f t="shared" si="6"/>
        <v>0</v>
      </c>
      <c r="O31" s="53">
        <f t="shared" si="9"/>
        <v>28978.41</v>
      </c>
      <c r="P31" s="53">
        <f>SUM(P20:P30)</f>
        <v>55112.209999999992</v>
      </c>
    </row>
    <row r="32" spans="1:17" ht="30" customHeight="1" x14ac:dyDescent="0.2">
      <c r="A32" s="1"/>
      <c r="B32" s="1"/>
      <c r="C32" s="1" t="s">
        <v>92</v>
      </c>
      <c r="D32" s="1"/>
      <c r="E32" s="53"/>
      <c r="F32" s="53"/>
      <c r="G32" s="53"/>
      <c r="H32" s="53"/>
      <c r="I32" s="53">
        <f t="shared" si="5"/>
        <v>0</v>
      </c>
      <c r="J32" s="84"/>
      <c r="K32" s="24">
        <f>+I32-J32</f>
        <v>0</v>
      </c>
      <c r="L32" s="76"/>
      <c r="M32" s="24"/>
      <c r="N32" s="90"/>
      <c r="O32" s="54"/>
      <c r="P32" s="54"/>
    </row>
    <row r="33" spans="1:18" x14ac:dyDescent="0.2">
      <c r="A33" s="1"/>
      <c r="B33" s="1"/>
      <c r="C33" s="1"/>
      <c r="D33" s="1" t="s">
        <v>93</v>
      </c>
      <c r="E33" s="53">
        <f>+'Income Statement'!E26</f>
        <v>0</v>
      </c>
      <c r="F33" s="53" t="e">
        <f>+'Income Statement'!#REF!</f>
        <v>#REF!</v>
      </c>
      <c r="G33" s="53"/>
      <c r="H33" s="53">
        <v>200</v>
      </c>
      <c r="I33" s="53" t="e">
        <f t="shared" si="5"/>
        <v>#REF!</v>
      </c>
      <c r="J33" s="84" t="e">
        <f>+#REF!</f>
        <v>#REF!</v>
      </c>
      <c r="K33" s="24" t="e">
        <f t="shared" ref="K33:K46" si="10">+J33-I33</f>
        <v>#REF!</v>
      </c>
      <c r="L33" s="76">
        <v>4100</v>
      </c>
      <c r="M33" s="24" t="e">
        <f t="shared" ref="M33:M45" si="11">+J33-L33</f>
        <v>#REF!</v>
      </c>
      <c r="N33" s="90">
        <f t="shared" ref="N33:N52" si="12">IFERROR(+M33/J33,0)</f>
        <v>0</v>
      </c>
      <c r="O33" s="54">
        <v>970.02</v>
      </c>
      <c r="P33" s="54">
        <f>1211.67+4250.26+425.97</f>
        <v>5887.9000000000005</v>
      </c>
    </row>
    <row r="34" spans="1:18" x14ac:dyDescent="0.2">
      <c r="A34" s="1"/>
      <c r="B34" s="1"/>
      <c r="C34" s="1"/>
      <c r="D34" s="1" t="s">
        <v>94</v>
      </c>
      <c r="E34" s="53" t="e">
        <f>+'Income Statement'!#REF!</f>
        <v>#REF!</v>
      </c>
      <c r="F34" s="53" t="e">
        <f>+'Income Statement'!#REF!</f>
        <v>#REF!</v>
      </c>
      <c r="G34" s="53"/>
      <c r="H34" s="53"/>
      <c r="I34" s="53" t="e">
        <f t="shared" si="5"/>
        <v>#REF!</v>
      </c>
      <c r="J34" s="84" t="e">
        <f>+#REF!</f>
        <v>#REF!</v>
      </c>
      <c r="K34" s="24" t="e">
        <f t="shared" si="10"/>
        <v>#REF!</v>
      </c>
      <c r="L34" s="76">
        <v>40000</v>
      </c>
      <c r="M34" s="24" t="e">
        <f t="shared" si="11"/>
        <v>#REF!</v>
      </c>
      <c r="N34" s="90">
        <f t="shared" si="12"/>
        <v>0</v>
      </c>
      <c r="O34" s="54">
        <v>23585.53</v>
      </c>
      <c r="P34" s="54">
        <f>26865+14344.77</f>
        <v>41209.770000000004</v>
      </c>
      <c r="R34" t="s">
        <v>188</v>
      </c>
    </row>
    <row r="35" spans="1:18" x14ac:dyDescent="0.2">
      <c r="A35" s="1"/>
      <c r="B35" s="1"/>
      <c r="C35" s="1"/>
      <c r="D35" s="1" t="s">
        <v>96</v>
      </c>
      <c r="E35" s="53" t="e">
        <f>+'Income Statement'!#REF!</f>
        <v>#REF!</v>
      </c>
      <c r="F35" s="53" t="e">
        <f>+'Income Statement'!#REF!</f>
        <v>#REF!</v>
      </c>
      <c r="G35" s="53"/>
      <c r="H35" s="53">
        <v>4200</v>
      </c>
      <c r="I35" s="53" t="e">
        <f t="shared" si="5"/>
        <v>#REF!</v>
      </c>
      <c r="J35" s="84" t="e">
        <f>+#REF!</f>
        <v>#REF!</v>
      </c>
      <c r="K35" s="24" t="e">
        <f t="shared" si="10"/>
        <v>#REF!</v>
      </c>
      <c r="L35" s="76">
        <v>9000</v>
      </c>
      <c r="M35" s="24" t="e">
        <f t="shared" si="11"/>
        <v>#REF!</v>
      </c>
      <c r="N35" s="90">
        <f t="shared" si="12"/>
        <v>0</v>
      </c>
      <c r="O35" s="54">
        <v>6338.09</v>
      </c>
      <c r="P35" s="54">
        <f>6955.11+7281.97</f>
        <v>14237.08</v>
      </c>
    </row>
    <row r="36" spans="1:18" x14ac:dyDescent="0.2">
      <c r="A36" s="1"/>
      <c r="B36" s="1"/>
      <c r="C36" s="1"/>
      <c r="D36" s="1" t="s">
        <v>97</v>
      </c>
      <c r="E36" s="53" t="e">
        <f>+'Income Statement'!#REF!</f>
        <v>#REF!</v>
      </c>
      <c r="F36" s="53" t="e">
        <f>+'Income Statement'!#REF!</f>
        <v>#REF!</v>
      </c>
      <c r="G36" s="53"/>
      <c r="H36" s="53"/>
      <c r="I36" s="53" t="e">
        <f t="shared" si="5"/>
        <v>#REF!</v>
      </c>
      <c r="J36" s="84" t="e">
        <f>+#REF!</f>
        <v>#REF!</v>
      </c>
      <c r="K36" s="24" t="e">
        <f t="shared" si="10"/>
        <v>#REF!</v>
      </c>
      <c r="L36" s="76">
        <v>4150</v>
      </c>
      <c r="M36" s="24" t="e">
        <f t="shared" si="11"/>
        <v>#REF!</v>
      </c>
      <c r="N36" s="90">
        <f t="shared" si="12"/>
        <v>0</v>
      </c>
      <c r="O36" s="54">
        <v>2202.52</v>
      </c>
      <c r="P36" s="54">
        <f>2736.24+7979.47</f>
        <v>10715.71</v>
      </c>
    </row>
    <row r="37" spans="1:18" x14ac:dyDescent="0.2">
      <c r="A37" s="1"/>
      <c r="B37" s="1"/>
      <c r="C37" s="1"/>
      <c r="D37" s="1" t="s">
        <v>98</v>
      </c>
      <c r="E37" s="53" t="e">
        <f>+'Income Statement'!#REF!</f>
        <v>#REF!</v>
      </c>
      <c r="F37" s="53" t="e">
        <f>+'Income Statement'!#REF!</f>
        <v>#REF!</v>
      </c>
      <c r="G37" s="53"/>
      <c r="H37" s="53">
        <v>3383</v>
      </c>
      <c r="I37" s="53" t="e">
        <f t="shared" si="5"/>
        <v>#REF!</v>
      </c>
      <c r="J37" s="84" t="e">
        <f>+#REF!</f>
        <v>#REF!</v>
      </c>
      <c r="K37" s="24" t="e">
        <f t="shared" si="10"/>
        <v>#REF!</v>
      </c>
      <c r="L37" s="76">
        <v>18800</v>
      </c>
      <c r="M37" s="24" t="e">
        <f t="shared" si="11"/>
        <v>#REF!</v>
      </c>
      <c r="N37" s="90">
        <f t="shared" si="12"/>
        <v>0</v>
      </c>
      <c r="O37" s="54">
        <v>18498</v>
      </c>
      <c r="P37" s="54">
        <v>21908</v>
      </c>
      <c r="Q37" t="s">
        <v>189</v>
      </c>
    </row>
    <row r="38" spans="1:18" x14ac:dyDescent="0.2">
      <c r="A38" s="1"/>
      <c r="B38" s="1"/>
      <c r="C38" s="1"/>
      <c r="D38" s="1" t="s">
        <v>99</v>
      </c>
      <c r="E38" s="53" t="e">
        <f>+'Income Statement'!#REF!</f>
        <v>#REF!</v>
      </c>
      <c r="F38" s="53" t="e">
        <f>+'Income Statement'!#REF!</f>
        <v>#REF!</v>
      </c>
      <c r="G38" s="53"/>
      <c r="H38" s="53">
        <v>1500</v>
      </c>
      <c r="I38" s="53" t="e">
        <f t="shared" si="5"/>
        <v>#REF!</v>
      </c>
      <c r="J38" s="84" t="e">
        <f>+#REF!</f>
        <v>#REF!</v>
      </c>
      <c r="K38" s="24" t="e">
        <f t="shared" si="10"/>
        <v>#REF!</v>
      </c>
      <c r="L38" s="76">
        <v>16000</v>
      </c>
      <c r="M38" s="24" t="e">
        <f t="shared" si="11"/>
        <v>#REF!</v>
      </c>
      <c r="N38" s="90">
        <f t="shared" si="12"/>
        <v>0</v>
      </c>
      <c r="O38" s="54">
        <v>12618.22</v>
      </c>
      <c r="P38" s="54">
        <v>13530.48</v>
      </c>
    </row>
    <row r="39" spans="1:18" x14ac:dyDescent="0.2">
      <c r="A39" s="1"/>
      <c r="B39" s="1"/>
      <c r="C39" s="1"/>
      <c r="D39" s="1" t="s">
        <v>100</v>
      </c>
      <c r="E39" s="53" t="e">
        <f>+'Income Statement'!#REF!</f>
        <v>#REF!</v>
      </c>
      <c r="F39" s="53" t="e">
        <f>+'Income Statement'!#REF!</f>
        <v>#REF!</v>
      </c>
      <c r="G39" s="53"/>
      <c r="H39" s="53"/>
      <c r="I39" s="53" t="e">
        <f t="shared" si="5"/>
        <v>#REF!</v>
      </c>
      <c r="J39" s="84" t="e">
        <f>+#REF!</f>
        <v>#REF!</v>
      </c>
      <c r="K39" s="24" t="e">
        <f t="shared" si="10"/>
        <v>#REF!</v>
      </c>
      <c r="L39" s="76">
        <v>2750</v>
      </c>
      <c r="M39" s="24" t="e">
        <f t="shared" si="11"/>
        <v>#REF!</v>
      </c>
      <c r="N39" s="90">
        <f t="shared" si="12"/>
        <v>0</v>
      </c>
      <c r="O39" s="54">
        <v>1547.48</v>
      </c>
      <c r="P39" s="54">
        <v>560.62</v>
      </c>
    </row>
    <row r="40" spans="1:18" x14ac:dyDescent="0.2">
      <c r="A40" s="1"/>
      <c r="B40" s="1"/>
      <c r="C40" s="1"/>
      <c r="D40" s="1" t="s">
        <v>101</v>
      </c>
      <c r="E40" s="53" t="e">
        <f>+'Income Statement'!#REF!</f>
        <v>#REF!</v>
      </c>
      <c r="F40" s="53" t="e">
        <f>+'Income Statement'!#REF!</f>
        <v>#REF!</v>
      </c>
      <c r="G40" s="53">
        <v>675</v>
      </c>
      <c r="H40" s="53">
        <v>675</v>
      </c>
      <c r="I40" s="53" t="e">
        <f t="shared" si="5"/>
        <v>#REF!</v>
      </c>
      <c r="J40" s="84" t="e">
        <f>+#REF!</f>
        <v>#REF!</v>
      </c>
      <c r="K40" s="24" t="e">
        <f t="shared" si="10"/>
        <v>#REF!</v>
      </c>
      <c r="L40" s="76">
        <v>10000</v>
      </c>
      <c r="M40" s="24" t="e">
        <f t="shared" si="11"/>
        <v>#REF!</v>
      </c>
      <c r="N40" s="90">
        <f t="shared" si="12"/>
        <v>0</v>
      </c>
      <c r="O40" s="54">
        <v>9271.2900000000009</v>
      </c>
      <c r="P40" s="54">
        <v>11983.27</v>
      </c>
      <c r="Q40" t="s">
        <v>190</v>
      </c>
    </row>
    <row r="41" spans="1:18" x14ac:dyDescent="0.2">
      <c r="A41" s="1"/>
      <c r="B41" s="1"/>
      <c r="C41" s="1"/>
      <c r="D41" s="1" t="s">
        <v>102</v>
      </c>
      <c r="E41" s="53" t="e">
        <f>+'Income Statement'!#REF!</f>
        <v>#REF!</v>
      </c>
      <c r="F41" s="53" t="e">
        <f>+'Income Statement'!#REF!</f>
        <v>#REF!</v>
      </c>
      <c r="G41" s="53"/>
      <c r="H41" s="53">
        <v>8760.4500000000007</v>
      </c>
      <c r="I41" s="53" t="e">
        <f t="shared" si="5"/>
        <v>#REF!</v>
      </c>
      <c r="J41" s="85">
        <v>17500</v>
      </c>
      <c r="K41" s="24" t="e">
        <f t="shared" si="10"/>
        <v>#REF!</v>
      </c>
      <c r="L41" s="77">
        <v>17500</v>
      </c>
      <c r="M41" s="24">
        <f t="shared" si="11"/>
        <v>0</v>
      </c>
      <c r="N41" s="90">
        <f t="shared" si="12"/>
        <v>0</v>
      </c>
      <c r="O41" s="52">
        <v>5226.25</v>
      </c>
      <c r="P41" s="52">
        <f>6385.75+3543.22</f>
        <v>9928.9699999999993</v>
      </c>
    </row>
    <row r="42" spans="1:18" x14ac:dyDescent="0.2">
      <c r="A42" s="1"/>
      <c r="B42" s="1"/>
      <c r="C42" s="1"/>
      <c r="D42" s="1" t="s">
        <v>191</v>
      </c>
      <c r="E42" s="53" t="e">
        <f>+'Income Statement'!#REF!</f>
        <v>#REF!</v>
      </c>
      <c r="F42" s="53" t="e">
        <f>+'Income Statement'!#REF!</f>
        <v>#REF!</v>
      </c>
      <c r="G42" s="53"/>
      <c r="H42" s="53"/>
      <c r="I42" s="53" t="e">
        <f t="shared" si="5"/>
        <v>#REF!</v>
      </c>
      <c r="J42" s="84" t="e">
        <f>+#REF!</f>
        <v>#REF!</v>
      </c>
      <c r="K42" s="24" t="e">
        <f t="shared" si="10"/>
        <v>#REF!</v>
      </c>
      <c r="L42" s="76"/>
      <c r="M42" s="24" t="e">
        <f t="shared" si="11"/>
        <v>#REF!</v>
      </c>
      <c r="N42" s="90">
        <f t="shared" si="12"/>
        <v>0</v>
      </c>
      <c r="O42" s="54"/>
      <c r="P42" s="54"/>
    </row>
    <row r="43" spans="1:18" x14ac:dyDescent="0.2">
      <c r="A43" s="1"/>
      <c r="B43" s="1"/>
      <c r="C43" s="1"/>
      <c r="D43" s="6" t="s">
        <v>104</v>
      </c>
      <c r="E43" s="53" t="e">
        <f>+'Income Statement'!#REF!</f>
        <v>#REF!</v>
      </c>
      <c r="F43" s="53" t="e">
        <f>+'Income Statement'!#REF!</f>
        <v>#REF!</v>
      </c>
      <c r="G43" s="53"/>
      <c r="H43" s="53"/>
      <c r="I43" s="53" t="e">
        <f t="shared" si="5"/>
        <v>#REF!</v>
      </c>
      <c r="J43" s="84" t="e">
        <f>+#REF!</f>
        <v>#REF!</v>
      </c>
      <c r="K43" s="24" t="e">
        <f t="shared" si="10"/>
        <v>#REF!</v>
      </c>
      <c r="L43" s="76">
        <v>0</v>
      </c>
      <c r="M43" s="24" t="e">
        <f t="shared" si="11"/>
        <v>#REF!</v>
      </c>
      <c r="N43" s="90">
        <f t="shared" si="12"/>
        <v>0</v>
      </c>
      <c r="O43" s="54">
        <v>5156.26</v>
      </c>
      <c r="P43" s="54"/>
      <c r="Q43" t="s">
        <v>192</v>
      </c>
    </row>
    <row r="44" spans="1:18" x14ac:dyDescent="0.2">
      <c r="A44" s="1"/>
      <c r="B44" s="1"/>
      <c r="C44" s="1"/>
      <c r="D44" s="6" t="s">
        <v>103</v>
      </c>
      <c r="E44" s="53" t="e">
        <f>+'Income Statement'!#REF!</f>
        <v>#REF!</v>
      </c>
      <c r="F44" s="53" t="e">
        <f>+'Income Statement'!#REF!</f>
        <v>#REF!</v>
      </c>
      <c r="G44" s="53">
        <v>0</v>
      </c>
      <c r="H44" s="53">
        <v>180</v>
      </c>
      <c r="I44" s="53" t="e">
        <f t="shared" si="5"/>
        <v>#REF!</v>
      </c>
      <c r="J44" s="84" t="e">
        <f>+#REF!</f>
        <v>#REF!</v>
      </c>
      <c r="K44" s="24" t="e">
        <f t="shared" si="10"/>
        <v>#REF!</v>
      </c>
      <c r="L44" s="76">
        <v>10600</v>
      </c>
      <c r="M44" s="24" t="e">
        <f t="shared" si="11"/>
        <v>#REF!</v>
      </c>
      <c r="N44" s="90">
        <f t="shared" si="12"/>
        <v>0</v>
      </c>
      <c r="O44" s="54">
        <v>14828.24</v>
      </c>
      <c r="P44" s="54">
        <v>20019.599999999999</v>
      </c>
      <c r="Q44" t="s">
        <v>193</v>
      </c>
    </row>
    <row r="45" spans="1:18" x14ac:dyDescent="0.2">
      <c r="A45" s="1"/>
      <c r="B45" s="1"/>
      <c r="C45" s="1"/>
      <c r="D45" s="1" t="s">
        <v>105</v>
      </c>
      <c r="E45" s="140" t="e">
        <f>+'Income Statement'!#REF!</f>
        <v>#REF!</v>
      </c>
      <c r="F45" s="140" t="e">
        <f>+'Income Statement'!#REF!</f>
        <v>#REF!</v>
      </c>
      <c r="G45" s="140"/>
      <c r="H45" s="140"/>
      <c r="I45" s="140" t="e">
        <f t="shared" si="5"/>
        <v>#REF!</v>
      </c>
      <c r="J45" s="86" t="e">
        <f>+#REF!</f>
        <v>#REF!</v>
      </c>
      <c r="K45" s="26" t="e">
        <f t="shared" si="10"/>
        <v>#REF!</v>
      </c>
      <c r="L45" s="78">
        <v>8500</v>
      </c>
      <c r="M45" s="26" t="e">
        <f t="shared" si="11"/>
        <v>#REF!</v>
      </c>
      <c r="N45" s="91">
        <f t="shared" si="12"/>
        <v>0</v>
      </c>
      <c r="O45" s="73"/>
      <c r="P45" s="73">
        <v>2807.94</v>
      </c>
    </row>
    <row r="46" spans="1:18" x14ac:dyDescent="0.2">
      <c r="A46" s="1"/>
      <c r="B46" s="1"/>
      <c r="C46" s="1" t="s">
        <v>106</v>
      </c>
      <c r="D46" s="1"/>
      <c r="E46" s="18" t="e">
        <f>SUM(E32:E45)</f>
        <v>#REF!</v>
      </c>
      <c r="F46" s="18" t="e">
        <f>SUM(F32:F45)</f>
        <v>#REF!</v>
      </c>
      <c r="G46" s="18">
        <f>SUM(G32:G45)</f>
        <v>675</v>
      </c>
      <c r="H46" s="18">
        <f>SUM(H32:H45)</f>
        <v>18898.45</v>
      </c>
      <c r="I46" s="18" t="e">
        <f>SUM(I32:I45)</f>
        <v>#REF!</v>
      </c>
      <c r="J46" s="85" t="e">
        <f>SUM(J33:J45)</f>
        <v>#REF!</v>
      </c>
      <c r="K46" s="24" t="e">
        <f t="shared" si="10"/>
        <v>#REF!</v>
      </c>
      <c r="L46" s="77">
        <f>SUM(L33:L45)</f>
        <v>141400</v>
      </c>
      <c r="M46" s="24" t="e">
        <f>SUM(M33:M45)</f>
        <v>#REF!</v>
      </c>
      <c r="N46" s="90">
        <f t="shared" si="12"/>
        <v>0</v>
      </c>
      <c r="O46" s="54">
        <f>SUM(O33:O45)</f>
        <v>100241.9</v>
      </c>
      <c r="P46" s="54">
        <f>SUM(P33:P45)</f>
        <v>152789.34</v>
      </c>
      <c r="Q46" s="7"/>
    </row>
    <row r="47" spans="1:18" ht="30" customHeight="1" x14ac:dyDescent="0.2">
      <c r="A47" s="1"/>
      <c r="B47" s="1"/>
      <c r="C47" s="1" t="s">
        <v>107</v>
      </c>
      <c r="D47" s="1"/>
      <c r="E47" s="18"/>
      <c r="F47" s="18"/>
      <c r="G47" s="18"/>
      <c r="H47" s="18"/>
      <c r="I47" s="53">
        <f t="shared" si="5"/>
        <v>0</v>
      </c>
      <c r="J47" s="85"/>
      <c r="K47" s="24">
        <f>+I47-J47</f>
        <v>0</v>
      </c>
      <c r="L47" s="77"/>
      <c r="M47" s="24"/>
      <c r="N47" s="90">
        <f t="shared" si="12"/>
        <v>0</v>
      </c>
      <c r="O47" s="52"/>
      <c r="P47" s="52"/>
    </row>
    <row r="48" spans="1:18" x14ac:dyDescent="0.2">
      <c r="A48" s="1"/>
      <c r="B48" s="1"/>
      <c r="C48" s="1"/>
      <c r="D48" s="1" t="s">
        <v>108</v>
      </c>
      <c r="E48" s="53" t="e">
        <f>+'Income Statement'!#REF!</f>
        <v>#REF!</v>
      </c>
      <c r="F48" s="53" t="e">
        <f>+'Income Statement'!#REF!</f>
        <v>#REF!</v>
      </c>
      <c r="G48" s="53"/>
      <c r="H48" s="53"/>
      <c r="I48" s="53" t="e">
        <f t="shared" si="5"/>
        <v>#REF!</v>
      </c>
      <c r="J48" s="84" t="e">
        <f>+#REF!</f>
        <v>#REF!</v>
      </c>
      <c r="K48" s="24" t="e">
        <f t="shared" ref="K48:K53" si="13">+J48-I48</f>
        <v>#REF!</v>
      </c>
      <c r="L48" s="76">
        <v>1200</v>
      </c>
      <c r="M48" s="24" t="e">
        <f>+J48-L48</f>
        <v>#REF!</v>
      </c>
      <c r="N48" s="90">
        <f t="shared" si="12"/>
        <v>0</v>
      </c>
      <c r="O48" s="54">
        <v>549</v>
      </c>
      <c r="P48" s="54">
        <v>500</v>
      </c>
    </row>
    <row r="49" spans="1:18" x14ac:dyDescent="0.2">
      <c r="A49" s="1"/>
      <c r="B49" s="1"/>
      <c r="C49" s="1"/>
      <c r="D49" s="1" t="s">
        <v>109</v>
      </c>
      <c r="E49" s="53" t="e">
        <f>+'Income Statement'!#REF!</f>
        <v>#REF!</v>
      </c>
      <c r="F49" s="53" t="e">
        <f>+'Income Statement'!#REF!</f>
        <v>#REF!</v>
      </c>
      <c r="G49" s="53"/>
      <c r="H49" s="53"/>
      <c r="I49" s="53" t="e">
        <f t="shared" si="5"/>
        <v>#REF!</v>
      </c>
      <c r="J49" s="84" t="e">
        <f>+#REF!</f>
        <v>#REF!</v>
      </c>
      <c r="K49" s="24" t="e">
        <f t="shared" si="13"/>
        <v>#REF!</v>
      </c>
      <c r="L49" s="76">
        <v>850</v>
      </c>
      <c r="M49" s="24" t="e">
        <f>+J49-L49</f>
        <v>#REF!</v>
      </c>
      <c r="N49" s="90">
        <f t="shared" si="12"/>
        <v>0</v>
      </c>
      <c r="O49" s="54">
        <v>10070</v>
      </c>
      <c r="P49" s="54">
        <f>264.62+3032</f>
        <v>3296.62</v>
      </c>
    </row>
    <row r="50" spans="1:18" x14ac:dyDescent="0.2">
      <c r="A50" s="1"/>
      <c r="B50" s="1"/>
      <c r="C50" s="1"/>
      <c r="D50" s="1" t="s">
        <v>111</v>
      </c>
      <c r="E50" s="53" t="e">
        <f>+'Income Statement'!#REF!</f>
        <v>#REF!</v>
      </c>
      <c r="F50" s="53" t="e">
        <f>+'Income Statement'!#REF!</f>
        <v>#REF!</v>
      </c>
      <c r="G50" s="53"/>
      <c r="H50" s="53"/>
      <c r="I50" s="53" t="e">
        <f t="shared" si="5"/>
        <v>#REF!</v>
      </c>
      <c r="J50" s="84" t="e">
        <f>+#REF!</f>
        <v>#REF!</v>
      </c>
      <c r="K50" s="24" t="e">
        <f t="shared" si="13"/>
        <v>#REF!</v>
      </c>
      <c r="L50" s="76">
        <v>13000</v>
      </c>
      <c r="M50" s="24" t="e">
        <f>+J50-L50</f>
        <v>#REF!</v>
      </c>
      <c r="N50" s="90">
        <f t="shared" si="12"/>
        <v>0</v>
      </c>
      <c r="O50" s="54">
        <v>18000</v>
      </c>
      <c r="P50" s="54">
        <v>2378</v>
      </c>
    </row>
    <row r="51" spans="1:18" x14ac:dyDescent="0.2">
      <c r="A51" s="1"/>
      <c r="B51" s="1"/>
      <c r="C51" s="1"/>
      <c r="D51" s="1" t="s">
        <v>112</v>
      </c>
      <c r="E51" s="53" t="e">
        <f>+'Income Statement'!#REF!</f>
        <v>#REF!</v>
      </c>
      <c r="F51" s="53" t="e">
        <f>+'Income Statement'!#REF!</f>
        <v>#REF!</v>
      </c>
      <c r="G51" s="53"/>
      <c r="H51" s="53"/>
      <c r="I51" s="53" t="e">
        <f t="shared" si="5"/>
        <v>#REF!</v>
      </c>
      <c r="J51" s="84" t="e">
        <f>+#REF!</f>
        <v>#REF!</v>
      </c>
      <c r="K51" s="24" t="e">
        <f t="shared" si="13"/>
        <v>#REF!</v>
      </c>
      <c r="L51" s="76">
        <v>18000</v>
      </c>
      <c r="M51" s="24" t="e">
        <f>+J51-L51</f>
        <v>#REF!</v>
      </c>
      <c r="N51" s="90">
        <f t="shared" si="12"/>
        <v>0</v>
      </c>
      <c r="O51" s="54">
        <v>4860.59</v>
      </c>
      <c r="P51" s="54">
        <v>10000</v>
      </c>
      <c r="Q51" t="s">
        <v>194</v>
      </c>
    </row>
    <row r="52" spans="1:18" x14ac:dyDescent="0.2">
      <c r="A52" s="1"/>
      <c r="B52" s="1"/>
      <c r="C52" s="1"/>
      <c r="D52" s="1" t="s">
        <v>113</v>
      </c>
      <c r="E52" s="140" t="e">
        <f>+'Income Statement'!#REF!</f>
        <v>#REF!</v>
      </c>
      <c r="F52" s="140" t="e">
        <f>+'Income Statement'!#REF!</f>
        <v>#REF!</v>
      </c>
      <c r="G52" s="140">
        <v>796.5</v>
      </c>
      <c r="H52" s="140"/>
      <c r="I52" s="140" t="e">
        <f t="shared" si="5"/>
        <v>#REF!</v>
      </c>
      <c r="J52" s="86" t="e">
        <f>+#REF!</f>
        <v>#REF!</v>
      </c>
      <c r="K52" s="26" t="e">
        <f t="shared" si="13"/>
        <v>#REF!</v>
      </c>
      <c r="L52" s="78">
        <v>10000</v>
      </c>
      <c r="M52" s="26" t="e">
        <f>+J52-L52</f>
        <v>#REF!</v>
      </c>
      <c r="N52" s="91">
        <f t="shared" si="12"/>
        <v>0</v>
      </c>
      <c r="O52" s="73"/>
      <c r="P52" s="73">
        <v>8000</v>
      </c>
    </row>
    <row r="53" spans="1:18" x14ac:dyDescent="0.2">
      <c r="A53" s="1"/>
      <c r="B53" s="1"/>
      <c r="C53" s="1" t="s">
        <v>114</v>
      </c>
      <c r="D53" s="1"/>
      <c r="E53" s="53" t="e">
        <f t="shared" ref="E53:J53" si="14">SUM(E48:E52)</f>
        <v>#REF!</v>
      </c>
      <c r="F53" s="53" t="e">
        <f t="shared" si="14"/>
        <v>#REF!</v>
      </c>
      <c r="G53" s="53">
        <f t="shared" si="14"/>
        <v>796.5</v>
      </c>
      <c r="H53" s="53">
        <f t="shared" si="14"/>
        <v>0</v>
      </c>
      <c r="I53" s="53" t="e">
        <f t="shared" si="14"/>
        <v>#REF!</v>
      </c>
      <c r="J53" s="84" t="e">
        <f t="shared" si="14"/>
        <v>#REF!</v>
      </c>
      <c r="K53" s="24" t="e">
        <f t="shared" si="13"/>
        <v>#REF!</v>
      </c>
      <c r="L53" s="76">
        <f>SUM(L48:L52)</f>
        <v>43050</v>
      </c>
      <c r="M53" s="24" t="e">
        <f>SUM(M48:M52)</f>
        <v>#REF!</v>
      </c>
      <c r="N53" s="90">
        <f>SUM(N47:N52)</f>
        <v>0</v>
      </c>
      <c r="O53" s="53">
        <f>SUM(O48:O52)</f>
        <v>33479.589999999997</v>
      </c>
      <c r="P53" s="53">
        <f>SUM(P48:P52)</f>
        <v>24174.62</v>
      </c>
    </row>
    <row r="54" spans="1:18" ht="30" customHeight="1" x14ac:dyDescent="0.2">
      <c r="A54" s="1"/>
      <c r="B54" s="1"/>
      <c r="C54" s="1" t="s">
        <v>115</v>
      </c>
      <c r="D54" s="1"/>
      <c r="E54" s="53"/>
      <c r="F54" s="53"/>
      <c r="G54" s="53"/>
      <c r="H54" s="53"/>
      <c r="I54" s="53"/>
      <c r="J54" s="84"/>
      <c r="K54" s="24"/>
      <c r="L54" s="76"/>
      <c r="M54" s="24"/>
      <c r="N54" s="90"/>
      <c r="O54" s="54"/>
      <c r="P54" s="54"/>
    </row>
    <row r="55" spans="1:18" x14ac:dyDescent="0.2">
      <c r="A55" s="1"/>
      <c r="B55" s="1"/>
      <c r="C55" s="1"/>
      <c r="D55" s="1" t="s">
        <v>116</v>
      </c>
      <c r="E55" s="53" t="e">
        <f>+'Income Statement'!#REF!</f>
        <v>#REF!</v>
      </c>
      <c r="F55" s="53" t="e">
        <f>+'Income Statement'!#REF!</f>
        <v>#REF!</v>
      </c>
      <c r="G55" s="53">
        <v>0</v>
      </c>
      <c r="H55" s="53">
        <v>0</v>
      </c>
      <c r="I55" s="53" t="e">
        <f t="shared" si="5"/>
        <v>#REF!</v>
      </c>
      <c r="J55" s="84" t="e">
        <f>+#REF!</f>
        <v>#REF!</v>
      </c>
      <c r="K55" s="24" t="e">
        <f t="shared" ref="K55:K63" si="15">+J55-I55</f>
        <v>#REF!</v>
      </c>
      <c r="L55" s="76">
        <v>275</v>
      </c>
      <c r="M55" s="24" t="e">
        <f t="shared" ref="M55:M62" si="16">+J55-L55</f>
        <v>#REF!</v>
      </c>
      <c r="N55" s="90">
        <f t="shared" ref="N55:N63" si="17">IFERROR(+M55/J55,0)</f>
        <v>0</v>
      </c>
      <c r="O55" s="54">
        <v>450</v>
      </c>
      <c r="P55" s="54">
        <v>185</v>
      </c>
    </row>
    <row r="56" spans="1:18" x14ac:dyDescent="0.2">
      <c r="A56" s="1"/>
      <c r="B56" s="1"/>
      <c r="C56" s="1"/>
      <c r="D56" s="1" t="s">
        <v>41</v>
      </c>
      <c r="E56" s="53" t="e">
        <f>+'Income Statement'!#REF!</f>
        <v>#REF!</v>
      </c>
      <c r="F56" s="53" t="e">
        <f>+'Income Statement'!#REF!</f>
        <v>#REF!</v>
      </c>
      <c r="G56" s="53">
        <v>3600</v>
      </c>
      <c r="H56" s="53">
        <v>3600</v>
      </c>
      <c r="I56" s="53" t="e">
        <f t="shared" si="5"/>
        <v>#REF!</v>
      </c>
      <c r="J56" s="84" t="e">
        <f>+#REF!</f>
        <v>#REF!</v>
      </c>
      <c r="K56" s="24" t="e">
        <f t="shared" si="15"/>
        <v>#REF!</v>
      </c>
      <c r="L56" s="76" t="e">
        <f>ROUND(I56*1.03,0)</f>
        <v>#REF!</v>
      </c>
      <c r="M56" s="24" t="e">
        <f t="shared" si="16"/>
        <v>#REF!</v>
      </c>
      <c r="N56" s="90">
        <f t="shared" si="17"/>
        <v>0</v>
      </c>
      <c r="O56" s="54">
        <v>40032.97</v>
      </c>
      <c r="P56" s="54">
        <v>33679.03</v>
      </c>
      <c r="R56" t="s">
        <v>195</v>
      </c>
    </row>
    <row r="57" spans="1:18" x14ac:dyDescent="0.2">
      <c r="A57" s="1"/>
      <c r="B57" s="1"/>
      <c r="C57" s="1"/>
      <c r="D57" s="1" t="s">
        <v>196</v>
      </c>
      <c r="E57" s="53" t="e">
        <f>+'Income Statement'!#REF!</f>
        <v>#REF!</v>
      </c>
      <c r="F57" s="53" t="e">
        <f>+'Income Statement'!#REF!</f>
        <v>#REF!</v>
      </c>
      <c r="G57" s="53">
        <v>3500</v>
      </c>
      <c r="H57" s="53">
        <v>3500</v>
      </c>
      <c r="I57" s="53" t="e">
        <f t="shared" si="5"/>
        <v>#REF!</v>
      </c>
      <c r="J57" s="84" t="e">
        <f>+#REF!</f>
        <v>#REF!</v>
      </c>
      <c r="K57" s="24" t="e">
        <f t="shared" si="15"/>
        <v>#REF!</v>
      </c>
      <c r="L57" s="76">
        <v>20000</v>
      </c>
      <c r="M57" s="24" t="e">
        <f t="shared" si="16"/>
        <v>#REF!</v>
      </c>
      <c r="N57" s="90">
        <f t="shared" si="17"/>
        <v>0</v>
      </c>
      <c r="O57" s="54">
        <v>15971.02</v>
      </c>
      <c r="P57" s="54">
        <v>444.73</v>
      </c>
    </row>
    <row r="58" spans="1:18" x14ac:dyDescent="0.2">
      <c r="A58" s="1"/>
      <c r="B58" s="1"/>
      <c r="C58" s="1"/>
      <c r="D58" s="1" t="s">
        <v>119</v>
      </c>
      <c r="E58" s="53" t="e">
        <f>+'Income Statement'!#REF!</f>
        <v>#REF!</v>
      </c>
      <c r="F58" s="53" t="e">
        <f>+'Income Statement'!#REF!</f>
        <v>#REF!</v>
      </c>
      <c r="G58" s="53">
        <v>1900</v>
      </c>
      <c r="H58" s="53">
        <v>1900</v>
      </c>
      <c r="I58" s="53" t="e">
        <f t="shared" si="5"/>
        <v>#REF!</v>
      </c>
      <c r="J58" s="84" t="e">
        <f>+#REF!</f>
        <v>#REF!</v>
      </c>
      <c r="K58" s="24" t="e">
        <f t="shared" si="15"/>
        <v>#REF!</v>
      </c>
      <c r="L58" s="76">
        <v>23327.8</v>
      </c>
      <c r="M58" s="24" t="e">
        <f t="shared" si="16"/>
        <v>#REF!</v>
      </c>
      <c r="N58" s="90">
        <f t="shared" si="17"/>
        <v>0</v>
      </c>
      <c r="O58" s="54">
        <v>21975</v>
      </c>
      <c r="P58" s="54">
        <v>28750</v>
      </c>
    </row>
    <row r="59" spans="1:18" x14ac:dyDescent="0.2">
      <c r="A59" s="1"/>
      <c r="B59" s="1"/>
      <c r="C59" s="1"/>
      <c r="D59" s="1" t="s">
        <v>121</v>
      </c>
      <c r="E59" s="53" t="e">
        <f>+'Income Statement'!#REF!</f>
        <v>#REF!</v>
      </c>
      <c r="F59" s="53" t="e">
        <f>+'Income Statement'!#REF!</f>
        <v>#REF!</v>
      </c>
      <c r="G59" s="53">
        <v>220</v>
      </c>
      <c r="H59" s="53">
        <v>220</v>
      </c>
      <c r="I59" s="53" t="e">
        <f t="shared" si="5"/>
        <v>#REF!</v>
      </c>
      <c r="J59" s="84" t="e">
        <f>+#REF!</f>
        <v>#REF!</v>
      </c>
      <c r="K59" s="24" t="e">
        <f t="shared" si="15"/>
        <v>#REF!</v>
      </c>
      <c r="L59" s="76">
        <v>2600</v>
      </c>
      <c r="M59" s="24" t="e">
        <f t="shared" si="16"/>
        <v>#REF!</v>
      </c>
      <c r="N59" s="90">
        <f t="shared" si="17"/>
        <v>0</v>
      </c>
      <c r="O59" s="54">
        <v>1895.58</v>
      </c>
      <c r="P59" s="54">
        <v>1596.72</v>
      </c>
      <c r="Q59" t="s">
        <v>197</v>
      </c>
    </row>
    <row r="60" spans="1:18" x14ac:dyDescent="0.2">
      <c r="A60" s="1"/>
      <c r="B60" s="1"/>
      <c r="C60" s="1"/>
      <c r="D60" s="1" t="s">
        <v>47</v>
      </c>
      <c r="E60" s="53" t="e">
        <f>+'Income Statement'!#REF!</f>
        <v>#REF!</v>
      </c>
      <c r="F60" s="53" t="e">
        <f>+'Income Statement'!#REF!</f>
        <v>#REF!</v>
      </c>
      <c r="G60" s="53">
        <v>342</v>
      </c>
      <c r="H60" s="53">
        <v>342</v>
      </c>
      <c r="I60" s="53" t="e">
        <f t="shared" si="5"/>
        <v>#REF!</v>
      </c>
      <c r="J60" s="84" t="e">
        <f>+#REF!</f>
        <v>#REF!</v>
      </c>
      <c r="K60" s="24" t="e">
        <f t="shared" si="15"/>
        <v>#REF!</v>
      </c>
      <c r="L60" s="76">
        <v>4000</v>
      </c>
      <c r="M60" s="24" t="e">
        <f t="shared" si="16"/>
        <v>#REF!</v>
      </c>
      <c r="N60" s="90">
        <f t="shared" si="17"/>
        <v>0</v>
      </c>
      <c r="O60" s="54">
        <v>4668.8500000000004</v>
      </c>
      <c r="P60" s="54">
        <v>2531.44</v>
      </c>
      <c r="Q60" t="s">
        <v>197</v>
      </c>
    </row>
    <row r="61" spans="1:18" x14ac:dyDescent="0.2">
      <c r="A61" s="1"/>
      <c r="B61" s="1"/>
      <c r="C61" s="1"/>
      <c r="D61" s="1" t="s">
        <v>198</v>
      </c>
      <c r="E61" s="53" t="e">
        <f>+'Income Statement'!#REF!</f>
        <v>#REF!</v>
      </c>
      <c r="F61" s="53" t="e">
        <f>+'Income Statement'!#REF!</f>
        <v>#REF!</v>
      </c>
      <c r="G61" s="53"/>
      <c r="H61" s="53"/>
      <c r="I61" s="53" t="e">
        <f t="shared" si="5"/>
        <v>#REF!</v>
      </c>
      <c r="J61" s="84" t="e">
        <f>+#REF!</f>
        <v>#REF!</v>
      </c>
      <c r="K61" s="24" t="e">
        <f t="shared" si="15"/>
        <v>#REF!</v>
      </c>
      <c r="L61" s="76">
        <v>0</v>
      </c>
      <c r="M61" s="24" t="e">
        <f t="shared" si="16"/>
        <v>#REF!</v>
      </c>
      <c r="N61" s="90">
        <f t="shared" si="17"/>
        <v>0</v>
      </c>
      <c r="O61" s="54"/>
      <c r="P61" s="54">
        <v>425</v>
      </c>
      <c r="Q61" t="s">
        <v>199</v>
      </c>
    </row>
    <row r="62" spans="1:18" x14ac:dyDescent="0.2">
      <c r="A62" s="1"/>
      <c r="B62" s="1"/>
      <c r="C62" s="1"/>
      <c r="D62" s="1" t="s">
        <v>122</v>
      </c>
      <c r="E62" s="140" t="e">
        <f>+'Income Statement'!#REF!</f>
        <v>#REF!</v>
      </c>
      <c r="F62" s="140" t="e">
        <f>+'Income Statement'!#REF!</f>
        <v>#REF!</v>
      </c>
      <c r="G62" s="140">
        <v>0</v>
      </c>
      <c r="H62" s="140">
        <v>0</v>
      </c>
      <c r="I62" s="140" t="e">
        <f t="shared" si="5"/>
        <v>#REF!</v>
      </c>
      <c r="J62" s="86" t="e">
        <f>+#REF!</f>
        <v>#REF!</v>
      </c>
      <c r="K62" s="26" t="e">
        <f t="shared" si="15"/>
        <v>#REF!</v>
      </c>
      <c r="L62" s="78" t="e">
        <f>+ROUND(I62*1.03,0)</f>
        <v>#REF!</v>
      </c>
      <c r="M62" s="26" t="e">
        <f t="shared" si="16"/>
        <v>#REF!</v>
      </c>
      <c r="N62" s="91">
        <f t="shared" si="17"/>
        <v>0</v>
      </c>
      <c r="O62" s="73">
        <v>5252.6</v>
      </c>
      <c r="P62" s="73">
        <v>5248.12</v>
      </c>
      <c r="R62" t="s">
        <v>195</v>
      </c>
    </row>
    <row r="63" spans="1:18" x14ac:dyDescent="0.2">
      <c r="A63" s="1"/>
      <c r="B63" s="1"/>
      <c r="C63" s="1" t="s">
        <v>123</v>
      </c>
      <c r="D63" s="1"/>
      <c r="E63" s="53" t="e">
        <f t="shared" ref="E63:J63" si="18">SUM(E55:E62)</f>
        <v>#REF!</v>
      </c>
      <c r="F63" s="53" t="e">
        <f t="shared" si="18"/>
        <v>#REF!</v>
      </c>
      <c r="G63" s="53">
        <f t="shared" si="18"/>
        <v>9562</v>
      </c>
      <c r="H63" s="53">
        <f t="shared" si="18"/>
        <v>9562</v>
      </c>
      <c r="I63" s="53" t="e">
        <f t="shared" si="18"/>
        <v>#REF!</v>
      </c>
      <c r="J63" s="84" t="e">
        <f t="shared" si="18"/>
        <v>#REF!</v>
      </c>
      <c r="K63" s="24" t="e">
        <f t="shared" si="15"/>
        <v>#REF!</v>
      </c>
      <c r="L63" s="76" t="e">
        <f>SUM(L55:L62)</f>
        <v>#REF!</v>
      </c>
      <c r="M63" s="24" t="e">
        <f>SUM(M55:M62)</f>
        <v>#REF!</v>
      </c>
      <c r="N63" s="90">
        <f t="shared" si="17"/>
        <v>0</v>
      </c>
      <c r="O63" s="53">
        <f>SUM(O55:O62)</f>
        <v>90246.020000000019</v>
      </c>
      <c r="P63" s="53">
        <f>SUM(P55:P62)</f>
        <v>72860.039999999994</v>
      </c>
      <c r="Q63" s="7"/>
    </row>
    <row r="64" spans="1:18" ht="30" customHeight="1" x14ac:dyDescent="0.2">
      <c r="A64" s="1"/>
      <c r="B64" s="1"/>
      <c r="C64" s="1" t="s">
        <v>124</v>
      </c>
      <c r="D64" s="1"/>
      <c r="E64" s="53"/>
      <c r="F64" s="53"/>
      <c r="G64" s="53"/>
      <c r="H64" s="53"/>
      <c r="I64" s="53">
        <f t="shared" si="5"/>
        <v>0</v>
      </c>
      <c r="J64" s="84"/>
      <c r="K64" s="24"/>
      <c r="L64" s="76"/>
      <c r="M64" s="24"/>
      <c r="N64" s="90"/>
      <c r="O64" s="54"/>
      <c r="P64" s="54"/>
    </row>
    <row r="65" spans="1:17" x14ac:dyDescent="0.2">
      <c r="A65" s="1"/>
      <c r="B65" s="1"/>
      <c r="C65" s="1"/>
      <c r="D65" s="1" t="s">
        <v>125</v>
      </c>
      <c r="E65" s="53" t="e">
        <f>+'Income Statement'!#REF!</f>
        <v>#REF!</v>
      </c>
      <c r="F65" s="53" t="e">
        <f>+'Income Statement'!#REF!</f>
        <v>#REF!</v>
      </c>
      <c r="G65" s="53">
        <v>75</v>
      </c>
      <c r="H65" s="53">
        <v>75</v>
      </c>
      <c r="I65" s="53" t="e">
        <f t="shared" si="5"/>
        <v>#REF!</v>
      </c>
      <c r="J65" s="84">
        <v>1350</v>
      </c>
      <c r="K65" s="24" t="e">
        <f t="shared" ref="K65:K77" si="19">+J65-I65</f>
        <v>#REF!</v>
      </c>
      <c r="L65" s="76">
        <v>1350</v>
      </c>
      <c r="M65" s="24">
        <f t="shared" ref="M65:M76" si="20">+J65-L65</f>
        <v>0</v>
      </c>
      <c r="N65" s="90">
        <f t="shared" ref="N65:N77" si="21">IFERROR(+M65/J65,0)</f>
        <v>0</v>
      </c>
      <c r="O65" s="54">
        <v>906.25</v>
      </c>
      <c r="P65" s="54">
        <f>1745.8+604</f>
        <v>2349.8000000000002</v>
      </c>
      <c r="Q65" t="s">
        <v>193</v>
      </c>
    </row>
    <row r="66" spans="1:17" x14ac:dyDescent="0.2">
      <c r="A66" s="1"/>
      <c r="B66" s="1"/>
      <c r="C66" s="1"/>
      <c r="D66" s="1" t="s">
        <v>200</v>
      </c>
      <c r="E66" s="53" t="e">
        <f>+'Income Statement'!#REF!</f>
        <v>#REF!</v>
      </c>
      <c r="F66" s="53" t="e">
        <f>+'Income Statement'!#REF!</f>
        <v>#REF!</v>
      </c>
      <c r="G66" s="53"/>
      <c r="H66" s="53">
        <v>500</v>
      </c>
      <c r="I66" s="53" t="e">
        <f t="shared" si="5"/>
        <v>#REF!</v>
      </c>
      <c r="J66" s="84" t="e">
        <f>+#REF!</f>
        <v>#REF!</v>
      </c>
      <c r="K66" s="24" t="e">
        <f t="shared" si="19"/>
        <v>#REF!</v>
      </c>
      <c r="L66" s="76">
        <v>1000</v>
      </c>
      <c r="M66" s="24" t="e">
        <f t="shared" si="20"/>
        <v>#REF!</v>
      </c>
      <c r="N66" s="90">
        <f t="shared" si="21"/>
        <v>0</v>
      </c>
      <c r="O66" s="54">
        <v>776.64</v>
      </c>
      <c r="P66" s="54">
        <f>240.94+1325.14</f>
        <v>1566.0800000000002</v>
      </c>
    </row>
    <row r="67" spans="1:17" x14ac:dyDescent="0.2">
      <c r="A67" s="1"/>
      <c r="B67" s="1"/>
      <c r="C67" s="1"/>
      <c r="D67" s="1" t="s">
        <v>127</v>
      </c>
      <c r="E67" s="53" t="e">
        <f>+'Income Statement'!#REF!</f>
        <v>#REF!</v>
      </c>
      <c r="F67" s="53" t="e">
        <f>+'Income Statement'!#REF!</f>
        <v>#REF!</v>
      </c>
      <c r="G67" s="53">
        <v>885.8</v>
      </c>
      <c r="H67" s="53"/>
      <c r="I67" s="53" t="e">
        <f t="shared" si="5"/>
        <v>#REF!</v>
      </c>
      <c r="J67" s="84" t="e">
        <f>+#REF!</f>
        <v>#REF!</v>
      </c>
      <c r="K67" s="24" t="e">
        <f t="shared" si="19"/>
        <v>#REF!</v>
      </c>
      <c r="L67" s="76">
        <v>1200</v>
      </c>
      <c r="M67" s="24" t="e">
        <f t="shared" si="20"/>
        <v>#REF!</v>
      </c>
      <c r="N67" s="90">
        <f t="shared" si="21"/>
        <v>0</v>
      </c>
      <c r="O67" s="54">
        <v>220</v>
      </c>
      <c r="P67" s="54">
        <f>488.03+71.04+604.93+225+87.15+178.03+3318.05</f>
        <v>4972.2300000000005</v>
      </c>
    </row>
    <row r="68" spans="1:17" x14ac:dyDescent="0.2">
      <c r="A68" s="1"/>
      <c r="B68" s="1"/>
      <c r="C68" s="1"/>
      <c r="D68" s="1" t="s">
        <v>128</v>
      </c>
      <c r="E68" s="53" t="e">
        <f>+'Income Statement'!#REF!</f>
        <v>#REF!</v>
      </c>
      <c r="F68" s="53" t="e">
        <f>+'Income Statement'!#REF!</f>
        <v>#REF!</v>
      </c>
      <c r="G68" s="53"/>
      <c r="H68" s="53"/>
      <c r="I68" s="53" t="e">
        <f t="shared" si="5"/>
        <v>#REF!</v>
      </c>
      <c r="J68" s="84">
        <v>2500</v>
      </c>
      <c r="K68" s="24" t="e">
        <f t="shared" si="19"/>
        <v>#REF!</v>
      </c>
      <c r="L68" s="76">
        <v>1000</v>
      </c>
      <c r="M68" s="24">
        <f t="shared" si="20"/>
        <v>1500</v>
      </c>
      <c r="N68" s="90">
        <f t="shared" si="21"/>
        <v>0.6</v>
      </c>
      <c r="O68" s="54">
        <v>1072.6300000000001</v>
      </c>
      <c r="P68" s="54"/>
    </row>
    <row r="69" spans="1:17" x14ac:dyDescent="0.2">
      <c r="A69" s="1"/>
      <c r="B69" s="1"/>
      <c r="C69" s="1"/>
      <c r="D69" s="1" t="s">
        <v>201</v>
      </c>
      <c r="E69" s="53" t="e">
        <f>+'Income Statement'!#REF!</f>
        <v>#REF!</v>
      </c>
      <c r="F69" s="53" t="e">
        <f>+'Income Statement'!#REF!</f>
        <v>#REF!</v>
      </c>
      <c r="G69" s="53"/>
      <c r="H69" s="53"/>
      <c r="I69" s="53" t="e">
        <f t="shared" si="5"/>
        <v>#REF!</v>
      </c>
      <c r="J69" s="84">
        <v>0</v>
      </c>
      <c r="K69" s="24" t="e">
        <f t="shared" si="19"/>
        <v>#REF!</v>
      </c>
      <c r="L69" s="76"/>
      <c r="M69" s="24">
        <f t="shared" si="20"/>
        <v>0</v>
      </c>
      <c r="N69" s="90">
        <f t="shared" si="21"/>
        <v>0</v>
      </c>
      <c r="O69" s="54"/>
      <c r="P69" s="54"/>
    </row>
    <row r="70" spans="1:17" x14ac:dyDescent="0.2">
      <c r="A70" s="1"/>
      <c r="B70" s="1"/>
      <c r="C70" s="1"/>
      <c r="D70" s="1" t="s">
        <v>202</v>
      </c>
      <c r="E70" s="53" t="e">
        <f>+'Income Statement'!#REF!</f>
        <v>#REF!</v>
      </c>
      <c r="F70" s="53" t="e">
        <f>+'Income Statement'!#REF!</f>
        <v>#REF!</v>
      </c>
      <c r="G70" s="53">
        <v>266</v>
      </c>
      <c r="H70" s="53">
        <v>266</v>
      </c>
      <c r="I70" s="53" t="e">
        <f t="shared" si="5"/>
        <v>#REF!</v>
      </c>
      <c r="J70" s="84">
        <v>5800</v>
      </c>
      <c r="K70" s="24" t="e">
        <f t="shared" si="19"/>
        <v>#REF!</v>
      </c>
      <c r="L70" s="76">
        <v>5700</v>
      </c>
      <c r="M70" s="24">
        <f t="shared" si="20"/>
        <v>100</v>
      </c>
      <c r="N70" s="90">
        <f t="shared" si="21"/>
        <v>1.7241379310344827E-2</v>
      </c>
      <c r="O70" s="54">
        <v>5298.8</v>
      </c>
      <c r="P70" s="54">
        <v>11894.99</v>
      </c>
      <c r="Q70" t="s">
        <v>203</v>
      </c>
    </row>
    <row r="71" spans="1:17" x14ac:dyDescent="0.2">
      <c r="A71" s="1"/>
      <c r="B71" s="1"/>
      <c r="C71" s="1"/>
      <c r="D71" s="1" t="s">
        <v>204</v>
      </c>
      <c r="E71" s="53" t="e">
        <f>+'Income Statement'!#REF!</f>
        <v>#REF!</v>
      </c>
      <c r="F71" s="53" t="e">
        <f>+'Income Statement'!#REF!</f>
        <v>#REF!</v>
      </c>
      <c r="G71" s="53">
        <v>535</v>
      </c>
      <c r="H71" s="53">
        <v>535</v>
      </c>
      <c r="I71" s="53" t="e">
        <f t="shared" si="5"/>
        <v>#REF!</v>
      </c>
      <c r="J71" s="84">
        <v>7850</v>
      </c>
      <c r="K71" s="24" t="e">
        <f t="shared" si="19"/>
        <v>#REF!</v>
      </c>
      <c r="L71" s="76" t="e">
        <f>+ROUND(I71*1.04,0)</f>
        <v>#REF!</v>
      </c>
      <c r="M71" s="24" t="e">
        <f t="shared" si="20"/>
        <v>#REF!</v>
      </c>
      <c r="N71" s="90">
        <f t="shared" si="21"/>
        <v>0</v>
      </c>
      <c r="O71" s="54">
        <v>7428.62</v>
      </c>
      <c r="P71" s="54"/>
      <c r="Q71" t="s">
        <v>205</v>
      </c>
    </row>
    <row r="72" spans="1:17" x14ac:dyDescent="0.2">
      <c r="A72" s="1"/>
      <c r="B72" s="1"/>
      <c r="C72" s="1"/>
      <c r="D72" s="1" t="s">
        <v>206</v>
      </c>
      <c r="E72" s="53" t="e">
        <f>+'Income Statement'!#REF!</f>
        <v>#REF!</v>
      </c>
      <c r="F72" s="53" t="e">
        <f>+'Income Statement'!#REF!</f>
        <v>#REF!</v>
      </c>
      <c r="G72" s="53">
        <v>400</v>
      </c>
      <c r="H72" s="53">
        <v>400</v>
      </c>
      <c r="I72" s="53" t="e">
        <f t="shared" si="5"/>
        <v>#REF!</v>
      </c>
      <c r="J72" s="84">
        <v>7500</v>
      </c>
      <c r="K72" s="24" t="e">
        <f t="shared" si="19"/>
        <v>#REF!</v>
      </c>
      <c r="L72" s="76">
        <v>8200</v>
      </c>
      <c r="M72" s="24">
        <f t="shared" si="20"/>
        <v>-700</v>
      </c>
      <c r="N72" s="90">
        <f t="shared" si="21"/>
        <v>-9.3333333333333338E-2</v>
      </c>
      <c r="O72" s="54">
        <v>7694.64</v>
      </c>
      <c r="P72" s="54"/>
    </row>
    <row r="73" spans="1:17" x14ac:dyDescent="0.2">
      <c r="A73" s="1"/>
      <c r="B73" s="1"/>
      <c r="C73" s="1"/>
      <c r="D73" s="1" t="s">
        <v>132</v>
      </c>
      <c r="E73" s="53" t="e">
        <f>+'Income Statement'!#REF!</f>
        <v>#REF!</v>
      </c>
      <c r="F73" s="53" t="e">
        <f>+'Income Statement'!#REF!</f>
        <v>#REF!</v>
      </c>
      <c r="G73" s="53"/>
      <c r="H73" s="53">
        <v>1600</v>
      </c>
      <c r="I73" s="53" t="e">
        <f t="shared" si="5"/>
        <v>#REF!</v>
      </c>
      <c r="J73" s="84">
        <v>8000</v>
      </c>
      <c r="K73" s="24" t="e">
        <f t="shared" si="19"/>
        <v>#REF!</v>
      </c>
      <c r="L73" s="76">
        <v>8000</v>
      </c>
      <c r="M73" s="24">
        <f t="shared" si="20"/>
        <v>0</v>
      </c>
      <c r="N73" s="90">
        <f t="shared" si="21"/>
        <v>0</v>
      </c>
      <c r="O73" s="54">
        <v>1600</v>
      </c>
      <c r="P73" s="54">
        <v>10702.52</v>
      </c>
      <c r="Q73" t="s">
        <v>189</v>
      </c>
    </row>
    <row r="74" spans="1:17" x14ac:dyDescent="0.2">
      <c r="A74" s="1"/>
      <c r="B74" s="1"/>
      <c r="C74" s="1"/>
      <c r="D74" s="1" t="s">
        <v>133</v>
      </c>
      <c r="E74" s="53" t="e">
        <f>+'Income Statement'!#REF!</f>
        <v>#REF!</v>
      </c>
      <c r="F74" s="53" t="e">
        <f>+'Income Statement'!#REF!</f>
        <v>#REF!</v>
      </c>
      <c r="G74" s="53">
        <v>300</v>
      </c>
      <c r="H74" s="53">
        <v>300</v>
      </c>
      <c r="I74" s="53" t="e">
        <f t="shared" si="5"/>
        <v>#REF!</v>
      </c>
      <c r="J74" s="84">
        <v>9000</v>
      </c>
      <c r="K74" s="24" t="e">
        <f t="shared" si="19"/>
        <v>#REF!</v>
      </c>
      <c r="L74" s="76">
        <v>9000</v>
      </c>
      <c r="M74" s="24">
        <f t="shared" si="20"/>
        <v>0</v>
      </c>
      <c r="N74" s="90">
        <f t="shared" si="21"/>
        <v>0</v>
      </c>
      <c r="O74" s="54">
        <v>16498.05</v>
      </c>
      <c r="P74" s="54">
        <v>12938.92</v>
      </c>
      <c r="Q74" t="s">
        <v>207</v>
      </c>
    </row>
    <row r="75" spans="1:17" x14ac:dyDescent="0.2">
      <c r="A75" s="1"/>
      <c r="B75" s="1"/>
      <c r="C75" s="1"/>
      <c r="D75" s="1" t="s">
        <v>134</v>
      </c>
      <c r="E75" s="53" t="e">
        <f>+'Income Statement'!#REF!</f>
        <v>#REF!</v>
      </c>
      <c r="F75" s="53" t="e">
        <f>+'Income Statement'!#REF!</f>
        <v>#REF!</v>
      </c>
      <c r="G75" s="53">
        <v>250</v>
      </c>
      <c r="H75" s="53">
        <v>250</v>
      </c>
      <c r="I75" s="53" t="e">
        <f t="shared" si="5"/>
        <v>#REF!</v>
      </c>
      <c r="J75" s="84">
        <v>2200</v>
      </c>
      <c r="K75" s="24" t="e">
        <f t="shared" si="19"/>
        <v>#REF!</v>
      </c>
      <c r="L75" s="76">
        <v>2300</v>
      </c>
      <c r="M75" s="24">
        <f t="shared" si="20"/>
        <v>-100</v>
      </c>
      <c r="N75" s="90">
        <f t="shared" si="21"/>
        <v>-4.5454545454545456E-2</v>
      </c>
      <c r="O75" s="54">
        <v>1384.2</v>
      </c>
      <c r="P75" s="54"/>
      <c r="Q75" t="s">
        <v>207</v>
      </c>
    </row>
    <row r="76" spans="1:17" x14ac:dyDescent="0.2">
      <c r="A76" s="1"/>
      <c r="B76" s="1"/>
      <c r="C76" s="1"/>
      <c r="D76" s="1" t="s">
        <v>135</v>
      </c>
      <c r="E76" s="140" t="e">
        <f>+'Income Statement'!#REF!</f>
        <v>#REF!</v>
      </c>
      <c r="F76" s="140" t="e">
        <f>+'Income Statement'!#REF!</f>
        <v>#REF!</v>
      </c>
      <c r="G76" s="140"/>
      <c r="H76" s="140">
        <v>500</v>
      </c>
      <c r="I76" s="140" t="e">
        <f t="shared" si="5"/>
        <v>#REF!</v>
      </c>
      <c r="J76" s="86" t="e">
        <f>+#REF!</f>
        <v>#REF!</v>
      </c>
      <c r="K76" s="26" t="e">
        <f t="shared" si="19"/>
        <v>#REF!</v>
      </c>
      <c r="L76" s="78">
        <v>3000</v>
      </c>
      <c r="M76" s="26" t="e">
        <f t="shared" si="20"/>
        <v>#REF!</v>
      </c>
      <c r="N76" s="91">
        <f t="shared" si="21"/>
        <v>0</v>
      </c>
      <c r="O76" s="73">
        <v>11003.31</v>
      </c>
      <c r="P76" s="73">
        <v>2492.1</v>
      </c>
    </row>
    <row r="77" spans="1:17" x14ac:dyDescent="0.2">
      <c r="A77" s="1"/>
      <c r="B77" s="1"/>
      <c r="C77" s="1" t="s">
        <v>136</v>
      </c>
      <c r="D77" s="1"/>
      <c r="E77" s="53" t="e">
        <f t="shared" ref="E77:J77" si="22">SUM(E65:E76)</f>
        <v>#REF!</v>
      </c>
      <c r="F77" s="53" t="e">
        <f t="shared" si="22"/>
        <v>#REF!</v>
      </c>
      <c r="G77" s="53">
        <f t="shared" si="22"/>
        <v>2711.8</v>
      </c>
      <c r="H77" s="53">
        <f t="shared" si="22"/>
        <v>4426</v>
      </c>
      <c r="I77" s="53" t="e">
        <f t="shared" si="22"/>
        <v>#REF!</v>
      </c>
      <c r="J77" s="84" t="e">
        <f t="shared" si="22"/>
        <v>#REF!</v>
      </c>
      <c r="K77" s="24" t="e">
        <f t="shared" si="19"/>
        <v>#REF!</v>
      </c>
      <c r="L77" s="76" t="e">
        <f>SUM(L65:L76)</f>
        <v>#REF!</v>
      </c>
      <c r="M77" s="24" t="e">
        <f>SUM(M65:M76)</f>
        <v>#REF!</v>
      </c>
      <c r="N77" s="90">
        <f t="shared" si="21"/>
        <v>0</v>
      </c>
      <c r="O77" s="53">
        <f>SUM(O65:O76)</f>
        <v>53883.139999999992</v>
      </c>
      <c r="P77" s="53">
        <f>SUM(P65:P76)</f>
        <v>46916.639999999999</v>
      </c>
    </row>
    <row r="78" spans="1:17" x14ac:dyDescent="0.2">
      <c r="A78" s="1"/>
      <c r="B78" s="1"/>
      <c r="C78" s="1"/>
      <c r="D78" s="1"/>
      <c r="E78" s="53"/>
      <c r="F78" s="53"/>
      <c r="G78" s="53"/>
      <c r="H78" s="53"/>
      <c r="I78" s="53">
        <f t="shared" si="5"/>
        <v>0</v>
      </c>
      <c r="J78" s="84"/>
      <c r="K78" s="24"/>
      <c r="L78" s="76"/>
      <c r="M78" s="24"/>
      <c r="N78" s="90"/>
      <c r="O78" s="54"/>
      <c r="P78" s="54"/>
    </row>
    <row r="79" spans="1:17" x14ac:dyDescent="0.2">
      <c r="A79" s="1"/>
      <c r="B79" s="1"/>
      <c r="C79" s="1" t="s">
        <v>137</v>
      </c>
      <c r="D79" s="1"/>
      <c r="E79" s="53"/>
      <c r="F79" s="53"/>
      <c r="G79" s="53"/>
      <c r="H79" s="53"/>
      <c r="I79" s="53">
        <f t="shared" si="5"/>
        <v>0</v>
      </c>
      <c r="J79" s="84"/>
      <c r="K79" s="24"/>
      <c r="L79" s="76"/>
      <c r="M79" s="24"/>
      <c r="N79" s="90"/>
      <c r="O79" s="54"/>
      <c r="P79" s="54"/>
    </row>
    <row r="80" spans="1:17" ht="30" customHeight="1" x14ac:dyDescent="0.2">
      <c r="A80" s="1"/>
      <c r="B80" s="1" t="s">
        <v>138</v>
      </c>
      <c r="C80" s="1"/>
      <c r="D80" s="1"/>
      <c r="E80" s="53" t="e">
        <f>+E77+E63+E46+E31+E79+E53</f>
        <v>#REF!</v>
      </c>
      <c r="F80" s="53" t="e">
        <f>+F77+F63+F46+F31+F79+F53</f>
        <v>#REF!</v>
      </c>
      <c r="G80" s="53">
        <f>+G77+G63+G46+G31+G79+G53</f>
        <v>13995.3</v>
      </c>
      <c r="H80" s="53">
        <f>+H77+H63+H46+H31+H79+H53</f>
        <v>37336.449999999997</v>
      </c>
      <c r="I80" s="53" t="e">
        <f>+I77+I63+I46+I31+I79+I53</f>
        <v>#REF!</v>
      </c>
      <c r="J80" s="84" t="e">
        <f>+J31+J46+J53+J63+J77</f>
        <v>#REF!</v>
      </c>
      <c r="K80" s="24" t="e">
        <f>+J80-I80</f>
        <v>#REF!</v>
      </c>
      <c r="L80" s="76" t="e">
        <f>+L31+L46+L53+L63+L77</f>
        <v>#REF!</v>
      </c>
      <c r="M80" s="24" t="e">
        <f>+L80-J80</f>
        <v>#REF!</v>
      </c>
      <c r="N80" s="90">
        <f>IFERROR(+M80/J80,0)</f>
        <v>0</v>
      </c>
      <c r="O80" s="53">
        <f>+O77+O63+O46+O31+O79+O53</f>
        <v>306829.05999999994</v>
      </c>
      <c r="P80" s="53">
        <f>+P77+P63+P46+P31+P79+P53</f>
        <v>351852.85</v>
      </c>
      <c r="Q80" s="7"/>
    </row>
    <row r="81" spans="1:18" ht="15" customHeight="1" x14ac:dyDescent="0.2">
      <c r="A81" s="1"/>
      <c r="B81" s="1"/>
      <c r="C81" s="1"/>
      <c r="D81" s="1"/>
      <c r="E81" s="53"/>
      <c r="F81" s="53"/>
      <c r="G81" s="53"/>
      <c r="H81" s="53"/>
      <c r="I81" s="53">
        <f t="shared" si="5"/>
        <v>0</v>
      </c>
      <c r="J81" s="84"/>
      <c r="K81" s="24">
        <f>+I81-J81</f>
        <v>0</v>
      </c>
      <c r="L81" s="76"/>
      <c r="M81" s="24"/>
      <c r="N81" s="90">
        <f>IFERROR(+M81/J81,0)</f>
        <v>0</v>
      </c>
      <c r="O81" s="54"/>
      <c r="P81" s="54"/>
    </row>
    <row r="82" spans="1:18" s="3" customFormat="1" ht="21" customHeight="1" x14ac:dyDescent="0.2">
      <c r="B82" s="1"/>
      <c r="C82" s="1"/>
      <c r="D82" s="1" t="s">
        <v>139</v>
      </c>
      <c r="E82" s="11">
        <f>+'Income Statement'!E44</f>
        <v>151029.79999999999</v>
      </c>
      <c r="F82" s="11" t="e">
        <f>+'Income Statement'!#REF!</f>
        <v>#REF!</v>
      </c>
      <c r="G82" s="11" t="e">
        <f>+G10+G11+G15</f>
        <v>#REF!</v>
      </c>
      <c r="H82" s="11" t="e">
        <f>+H10+H11+H15</f>
        <v>#REF!</v>
      </c>
      <c r="I82" s="140" t="e">
        <f t="shared" si="5"/>
        <v>#REF!</v>
      </c>
      <c r="J82" s="87" t="e">
        <f>+J11+J10</f>
        <v>#REF!</v>
      </c>
      <c r="K82" s="26" t="e">
        <f>+J82-I82</f>
        <v>#REF!</v>
      </c>
      <c r="L82" s="79">
        <f>+L11+L10</f>
        <v>2311408.04</v>
      </c>
      <c r="M82" s="26" t="e">
        <f>+L82-J82</f>
        <v>#REF!</v>
      </c>
      <c r="N82" s="91">
        <f>IFERROR(+M82/J82,0)</f>
        <v>0</v>
      </c>
      <c r="O82" s="11">
        <f>+O10+O11+O15</f>
        <v>1695545.01</v>
      </c>
      <c r="P82" s="11">
        <f>+P10+P11+P15</f>
        <v>0</v>
      </c>
    </row>
    <row r="83" spans="1:18" x14ac:dyDescent="0.2">
      <c r="E83" s="53"/>
      <c r="F83" s="53"/>
      <c r="G83" s="53"/>
      <c r="H83" s="53"/>
      <c r="I83" s="53"/>
      <c r="J83" s="84"/>
      <c r="K83" s="24">
        <f>+I83-J83</f>
        <v>0</v>
      </c>
      <c r="L83" s="76"/>
      <c r="M83" s="24"/>
      <c r="N83" s="24"/>
      <c r="O83" s="54"/>
      <c r="P83" s="54"/>
    </row>
    <row r="84" spans="1:18" ht="16" thickBot="1" x14ac:dyDescent="0.25">
      <c r="D84" s="3" t="s">
        <v>67</v>
      </c>
      <c r="E84" s="19" t="e">
        <f t="shared" ref="E84:O84" si="23">+E17-E80-E82</f>
        <v>#REF!</v>
      </c>
      <c r="F84" s="19" t="e">
        <f t="shared" si="23"/>
        <v>#REF!</v>
      </c>
      <c r="G84" s="19" t="e">
        <f t="shared" si="23"/>
        <v>#REF!</v>
      </c>
      <c r="H84" s="19" t="e">
        <f t="shared" si="23"/>
        <v>#REF!</v>
      </c>
      <c r="I84" s="19" t="e">
        <f t="shared" si="23"/>
        <v>#REF!</v>
      </c>
      <c r="J84" s="88" t="e">
        <f t="shared" si="23"/>
        <v>#REF!</v>
      </c>
      <c r="K84" s="51" t="e">
        <f>+I84-J84</f>
        <v>#REF!</v>
      </c>
      <c r="L84" s="80" t="e">
        <f t="shared" si="23"/>
        <v>#REF!</v>
      </c>
      <c r="M84" s="51" t="e">
        <f>+J84-L84</f>
        <v>#REF!</v>
      </c>
      <c r="N84" s="51"/>
      <c r="O84" s="117">
        <f t="shared" si="23"/>
        <v>87762.940000000177</v>
      </c>
      <c r="P84" s="117">
        <f>+P17-P80-P82</f>
        <v>44474.150000000023</v>
      </c>
    </row>
    <row r="85" spans="1:18" ht="16" thickTop="1" x14ac:dyDescent="0.2">
      <c r="E85" s="92" t="e">
        <f>+'Income Statement'!#REF!</f>
        <v>#REF!</v>
      </c>
      <c r="F85" s="53" t="e">
        <f>+'Income Statement'!#REF!</f>
        <v>#REF!</v>
      </c>
      <c r="G85" s="53"/>
      <c r="H85" s="53"/>
      <c r="I85" s="53"/>
      <c r="J85" s="84">
        <v>24351.919999999998</v>
      </c>
      <c r="K85" s="24"/>
      <c r="L85" s="76"/>
      <c r="M85" s="24"/>
      <c r="N85" s="24"/>
      <c r="O85" s="54">
        <v>87762.94</v>
      </c>
      <c r="P85" s="54">
        <v>44474.15</v>
      </c>
    </row>
    <row r="86" spans="1:18" x14ac:dyDescent="0.2">
      <c r="E86" s="92" t="e">
        <f>+E85-E84</f>
        <v>#REF!</v>
      </c>
      <c r="F86" s="53"/>
      <c r="G86" s="53"/>
      <c r="H86" s="53"/>
      <c r="I86" s="53"/>
      <c r="J86" s="53" t="e">
        <f>+J85-J84</f>
        <v>#REF!</v>
      </c>
      <c r="K86" s="54"/>
      <c r="L86" s="53"/>
      <c r="M86" s="54"/>
      <c r="N86" s="54"/>
      <c r="O86" s="54">
        <f>+O85-O84</f>
        <v>-1.7462298274040222E-10</v>
      </c>
      <c r="P86" s="54"/>
      <c r="Q86" s="8"/>
      <c r="R86" s="8"/>
    </row>
    <row r="87" spans="1:18" x14ac:dyDescent="0.2">
      <c r="E87" s="93"/>
    </row>
  </sheetData>
  <mergeCells count="4">
    <mergeCell ref="A1:J1"/>
    <mergeCell ref="A2:J2"/>
    <mergeCell ref="A3:J3"/>
    <mergeCell ref="O5:P5"/>
  </mergeCells>
  <printOptions horizontalCentered="1" verticalCentered="1"/>
  <pageMargins left="0" right="0.25" top="0" bottom="0" header="0.3" footer="0.3"/>
  <pageSetup scale="70" fitToHeight="2" orientation="landscape" r:id="rId1"/>
  <headerFooter>
    <oddFooter xml:space="preserve">&amp;CFor Internal Use Only
</oddFooter>
  </headerFooter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2"/>
  <sheetViews>
    <sheetView topLeftCell="A2" zoomScaleNormal="100" workbookViewId="0">
      <pane xSplit="4" ySplit="8" topLeftCell="E10" activePane="bottomRight" state="frozen"/>
      <selection pane="topRight" activeCell="E2" sqref="E2"/>
      <selection pane="bottomLeft" activeCell="A10" sqref="A10"/>
      <selection pane="bottomRight" activeCell="J12" sqref="J12"/>
    </sheetView>
  </sheetViews>
  <sheetFormatPr baseColWidth="10" defaultColWidth="8.83203125" defaultRowHeight="15" x14ac:dyDescent="0.2"/>
  <cols>
    <col min="1" max="1" width="0.6640625" style="3" customWidth="1"/>
    <col min="2" max="2" width="0.33203125" style="3" customWidth="1"/>
    <col min="3" max="3" width="1.83203125" style="3" customWidth="1"/>
    <col min="4" max="4" width="46.33203125" style="3" customWidth="1"/>
    <col min="5" max="6" width="16.33203125" style="9" customWidth="1"/>
    <col min="7" max="7" width="16.33203125" style="9" bestFit="1" customWidth="1"/>
    <col min="8" max="8" width="15.5" style="9" bestFit="1" customWidth="1"/>
    <col min="9" max="9" width="19.5" style="9" bestFit="1" customWidth="1"/>
    <col min="10" max="10" width="15.5" bestFit="1" customWidth="1"/>
    <col min="11" max="11" width="16.5" bestFit="1" customWidth="1"/>
    <col min="12" max="12" width="12" bestFit="1" customWidth="1"/>
    <col min="13" max="13" width="35.5" customWidth="1"/>
  </cols>
  <sheetData>
    <row r="1" spans="1:12" ht="20" x14ac:dyDescent="0.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2" ht="20" x14ac:dyDescent="0.2">
      <c r="A2" s="240" t="s">
        <v>208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2" ht="21" customHeight="1" x14ac:dyDescent="0.2">
      <c r="A3" s="241" t="s">
        <v>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2" ht="20" x14ac:dyDescent="0.2">
      <c r="A4" s="241" t="s">
        <v>209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2" ht="9.75" customHeight="1" x14ac:dyDescent="0.2">
      <c r="A5" s="2"/>
      <c r="B5" s="1"/>
      <c r="C5" s="1"/>
      <c r="D5" s="1"/>
    </row>
    <row r="6" spans="1:12" x14ac:dyDescent="0.2">
      <c r="A6" s="2"/>
      <c r="B6" s="1"/>
      <c r="C6" s="1"/>
      <c r="D6" s="1"/>
    </row>
    <row r="7" spans="1:12" x14ac:dyDescent="0.2">
      <c r="A7" s="1"/>
      <c r="B7" s="1"/>
      <c r="C7" s="1"/>
      <c r="D7" s="1"/>
      <c r="E7" s="10" t="s">
        <v>4</v>
      </c>
      <c r="F7" s="154" t="s">
        <v>5</v>
      </c>
      <c r="G7" s="154" t="s">
        <v>5</v>
      </c>
      <c r="H7" s="20" t="s">
        <v>6</v>
      </c>
      <c r="I7" s="154" t="s">
        <v>7</v>
      </c>
      <c r="J7" s="160" t="s">
        <v>8</v>
      </c>
      <c r="K7" s="142" t="s">
        <v>9</v>
      </c>
      <c r="L7" s="155" t="s">
        <v>210</v>
      </c>
    </row>
    <row r="8" spans="1:12" s="5" customFormat="1" x14ac:dyDescent="0.2">
      <c r="A8" s="4"/>
      <c r="B8" s="4"/>
      <c r="C8" s="4"/>
      <c r="D8" s="4"/>
      <c r="E8" s="21" t="s">
        <v>10</v>
      </c>
      <c r="F8" s="155" t="s">
        <v>11</v>
      </c>
      <c r="G8" s="155" t="s">
        <v>211</v>
      </c>
      <c r="H8" s="10" t="s">
        <v>13</v>
      </c>
      <c r="I8" s="155" t="s">
        <v>14</v>
      </c>
      <c r="J8" s="161" t="s">
        <v>13</v>
      </c>
      <c r="K8" s="142" t="s">
        <v>15</v>
      </c>
      <c r="L8" s="155" t="s">
        <v>212</v>
      </c>
    </row>
    <row r="9" spans="1:12" x14ac:dyDescent="0.2">
      <c r="A9" s="1"/>
      <c r="B9" s="1"/>
      <c r="C9" s="1"/>
      <c r="D9" s="1"/>
      <c r="E9" s="193" t="s">
        <v>17</v>
      </c>
      <c r="F9" s="192" t="s">
        <v>18</v>
      </c>
      <c r="G9" s="192" t="s">
        <v>19</v>
      </c>
      <c r="H9" s="200"/>
      <c r="I9" s="192" t="s">
        <v>20</v>
      </c>
      <c r="J9" s="207" t="s">
        <v>21</v>
      </c>
      <c r="K9" s="201"/>
      <c r="L9" s="214"/>
    </row>
    <row r="10" spans="1:12" x14ac:dyDescent="0.2">
      <c r="A10" s="148"/>
      <c r="B10" s="148" t="s">
        <v>213</v>
      </c>
      <c r="C10" s="148"/>
      <c r="D10" s="148"/>
      <c r="E10" s="53">
        <v>291855.31</v>
      </c>
      <c r="F10" s="156">
        <v>291855.31</v>
      </c>
      <c r="G10" s="156">
        <v>291855.31</v>
      </c>
      <c r="H10" s="53">
        <v>293558.94</v>
      </c>
      <c r="I10" s="156">
        <f t="shared" ref="I10:I15" si="0">G10-H10</f>
        <v>-1703.6300000000047</v>
      </c>
      <c r="J10" s="162">
        <f>G28</f>
        <v>434317.69</v>
      </c>
      <c r="K10" s="143"/>
      <c r="L10" s="211">
        <f>J28</f>
        <v>380277.92000000004</v>
      </c>
    </row>
    <row r="11" spans="1:12" x14ac:dyDescent="0.2">
      <c r="A11" s="148"/>
      <c r="B11" s="148" t="s">
        <v>214</v>
      </c>
      <c r="C11" s="148"/>
      <c r="D11" s="148"/>
      <c r="E11" s="53"/>
      <c r="F11" s="156"/>
      <c r="G11" s="156"/>
      <c r="H11" s="53"/>
      <c r="I11" s="156">
        <f t="shared" si="0"/>
        <v>0</v>
      </c>
      <c r="J11" s="162"/>
      <c r="K11" s="143"/>
      <c r="L11" s="211"/>
    </row>
    <row r="12" spans="1:12" x14ac:dyDescent="0.2">
      <c r="A12" s="148"/>
      <c r="B12" s="148"/>
      <c r="C12" s="148"/>
      <c r="D12" s="148" t="s">
        <v>215</v>
      </c>
      <c r="E12" s="54"/>
      <c r="F12" s="168">
        <v>0</v>
      </c>
      <c r="G12" s="168">
        <f>SUM(E12:F12)</f>
        <v>0</v>
      </c>
      <c r="H12" s="54">
        <v>-5008.25</v>
      </c>
      <c r="I12" s="156">
        <f t="shared" si="0"/>
        <v>5008.25</v>
      </c>
      <c r="J12" s="162">
        <f>'Income Statement'!G45</f>
        <v>16992.880000000063</v>
      </c>
      <c r="K12" s="144">
        <f>J12-H12</f>
        <v>22001.130000000063</v>
      </c>
      <c r="L12" s="211"/>
    </row>
    <row r="13" spans="1:12" x14ac:dyDescent="0.2">
      <c r="A13" s="148"/>
      <c r="B13" s="148"/>
      <c r="C13" s="148"/>
      <c r="D13" s="148" t="s">
        <v>216</v>
      </c>
      <c r="E13" s="54">
        <v>0</v>
      </c>
      <c r="F13" s="168">
        <v>0</v>
      </c>
      <c r="G13" s="168">
        <f>SUM(E13:F13)</f>
        <v>0</v>
      </c>
      <c r="H13" s="54"/>
      <c r="I13" s="156">
        <f t="shared" si="0"/>
        <v>0</v>
      </c>
      <c r="J13" s="162">
        <v>0</v>
      </c>
      <c r="K13" s="144">
        <f>J13-H13</f>
        <v>0</v>
      </c>
      <c r="L13" s="211"/>
    </row>
    <row r="14" spans="1:12" x14ac:dyDescent="0.2">
      <c r="A14" s="148"/>
      <c r="B14" s="148"/>
      <c r="C14" s="148"/>
      <c r="D14" s="148" t="s">
        <v>217</v>
      </c>
      <c r="E14" s="140">
        <f>'Income Statement'!E44-'Income Statement'!E19</f>
        <v>148530.9</v>
      </c>
      <c r="F14" s="158">
        <f>'Income Statement'!F44</f>
        <v>50348.12</v>
      </c>
      <c r="G14" s="169">
        <f t="shared" ref="G14:G21" si="1">SUM(E14:F14)</f>
        <v>198879.02</v>
      </c>
      <c r="H14" s="140">
        <f>'Income Statement'!H11+'Income Statement'!H12+'Income Statement'!H17-'Income Statement'!H19</f>
        <v>198879.35</v>
      </c>
      <c r="I14" s="158">
        <f t="shared" si="0"/>
        <v>-0.33000000001629815</v>
      </c>
      <c r="J14" s="164">
        <f>'Income Statement'!J44-'Income Statement'!J19</f>
        <v>27767.35</v>
      </c>
      <c r="K14" s="145">
        <f>J14-H14</f>
        <v>-171112</v>
      </c>
      <c r="L14" s="212">
        <f>'Income Statement'!J11</f>
        <v>57348.25</v>
      </c>
    </row>
    <row r="15" spans="1:12" x14ac:dyDescent="0.2">
      <c r="A15" s="148"/>
      <c r="B15" s="148"/>
      <c r="C15" s="148" t="s">
        <v>35</v>
      </c>
      <c r="D15" s="148"/>
      <c r="E15" s="53">
        <f>SUM(E12:E14)</f>
        <v>148530.9</v>
      </c>
      <c r="F15" s="156">
        <f>SUM(F12:F14)</f>
        <v>50348.12</v>
      </c>
      <c r="G15" s="168">
        <f>SUM(E15:F15)</f>
        <v>198879.02</v>
      </c>
      <c r="H15" s="53">
        <f>SUM(H12:H14)</f>
        <v>193871.1</v>
      </c>
      <c r="I15" s="156">
        <f t="shared" si="0"/>
        <v>5007.9199999999837</v>
      </c>
      <c r="J15" s="162">
        <f>SUM(J12:J14)</f>
        <v>44760.230000000061</v>
      </c>
      <c r="K15" s="144">
        <f>J15-H15</f>
        <v>-149110.86999999994</v>
      </c>
      <c r="L15" s="211">
        <f>SUM(L12:L14)</f>
        <v>57348.25</v>
      </c>
    </row>
    <row r="16" spans="1:12" ht="18.75" customHeight="1" x14ac:dyDescent="0.2">
      <c r="A16" s="148"/>
      <c r="B16" s="148" t="s">
        <v>218</v>
      </c>
      <c r="C16" s="148"/>
      <c r="D16" s="148"/>
      <c r="E16" s="53"/>
      <c r="F16" s="156"/>
      <c r="G16" s="168">
        <f t="shared" si="1"/>
        <v>0</v>
      </c>
      <c r="H16" s="53"/>
      <c r="I16" s="156"/>
      <c r="J16" s="162"/>
      <c r="K16" s="143"/>
      <c r="L16" s="211"/>
    </row>
    <row r="17" spans="1:13" x14ac:dyDescent="0.2">
      <c r="A17" s="148"/>
      <c r="B17" s="148"/>
      <c r="C17" s="148"/>
      <c r="D17" s="148" t="s">
        <v>219</v>
      </c>
      <c r="E17" s="53">
        <v>0</v>
      </c>
      <c r="F17" s="156">
        <v>600</v>
      </c>
      <c r="G17" s="168">
        <f t="shared" si="1"/>
        <v>600</v>
      </c>
      <c r="H17" s="53">
        <v>600</v>
      </c>
      <c r="I17" s="156">
        <f>G17-H17</f>
        <v>0</v>
      </c>
      <c r="J17" s="162">
        <v>600</v>
      </c>
      <c r="K17" s="144">
        <f t="shared" ref="K17:K28" si="2">J17-H17</f>
        <v>0</v>
      </c>
      <c r="L17" s="215">
        <v>600</v>
      </c>
    </row>
    <row r="18" spans="1:13" ht="48" x14ac:dyDescent="0.2">
      <c r="A18" s="148"/>
      <c r="B18" s="148"/>
      <c r="C18" s="148"/>
      <c r="D18" s="148" t="s">
        <v>220</v>
      </c>
      <c r="E18" s="53">
        <v>660</v>
      </c>
      <c r="F18" s="168">
        <v>8800</v>
      </c>
      <c r="G18" s="168">
        <f t="shared" si="1"/>
        <v>9460</v>
      </c>
      <c r="H18" s="53">
        <v>4500</v>
      </c>
      <c r="I18" s="156">
        <f t="shared" ref="I18:I28" si="3">G18-H18</f>
        <v>4960</v>
      </c>
      <c r="J18" s="162">
        <v>6000</v>
      </c>
      <c r="K18" s="144">
        <f t="shared" si="2"/>
        <v>1500</v>
      </c>
      <c r="L18" s="215">
        <v>6000</v>
      </c>
      <c r="M18" s="236" t="s">
        <v>221</v>
      </c>
    </row>
    <row r="19" spans="1:13" x14ac:dyDescent="0.2">
      <c r="A19" s="148"/>
      <c r="B19" s="148"/>
      <c r="C19" s="148"/>
      <c r="D19" s="148" t="s">
        <v>222</v>
      </c>
      <c r="E19" s="53">
        <v>75.010000000000005</v>
      </c>
      <c r="F19" s="156">
        <v>2000</v>
      </c>
      <c r="G19" s="168">
        <f t="shared" si="1"/>
        <v>2075.0100000000002</v>
      </c>
      <c r="H19" s="53">
        <v>3000</v>
      </c>
      <c r="I19" s="156">
        <f t="shared" si="3"/>
        <v>-924.98999999999978</v>
      </c>
      <c r="J19" s="162">
        <v>3000</v>
      </c>
      <c r="K19" s="144">
        <f t="shared" si="2"/>
        <v>0</v>
      </c>
      <c r="L19" s="215">
        <v>5000</v>
      </c>
    </row>
    <row r="20" spans="1:13" x14ac:dyDescent="0.2">
      <c r="A20" s="148"/>
      <c r="B20" s="148"/>
      <c r="C20" s="148"/>
      <c r="D20" s="148" t="s">
        <v>223</v>
      </c>
      <c r="E20" s="18">
        <v>0</v>
      </c>
      <c r="F20" s="157">
        <v>1000</v>
      </c>
      <c r="G20" s="168">
        <f t="shared" si="1"/>
        <v>1000</v>
      </c>
      <c r="H20" s="18">
        <v>3500</v>
      </c>
      <c r="I20" s="156">
        <f t="shared" si="3"/>
        <v>-2500</v>
      </c>
      <c r="J20" s="163">
        <v>3500</v>
      </c>
      <c r="K20" s="144">
        <f t="shared" si="2"/>
        <v>0</v>
      </c>
      <c r="L20" s="215">
        <v>4000</v>
      </c>
    </row>
    <row r="21" spans="1:13" x14ac:dyDescent="0.2">
      <c r="A21" s="148"/>
      <c r="B21" s="148"/>
      <c r="C21" s="148"/>
      <c r="D21" s="148" t="s">
        <v>224</v>
      </c>
      <c r="E21" s="53">
        <v>27834.91</v>
      </c>
      <c r="F21" s="156">
        <v>5000</v>
      </c>
      <c r="G21" s="168">
        <f t="shared" si="1"/>
        <v>32834.910000000003</v>
      </c>
      <c r="H21" s="53">
        <v>20000</v>
      </c>
      <c r="I21" s="156">
        <f t="shared" si="3"/>
        <v>12834.910000000003</v>
      </c>
      <c r="J21" s="162">
        <v>20000</v>
      </c>
      <c r="K21" s="144">
        <f t="shared" si="2"/>
        <v>0</v>
      </c>
      <c r="L21" s="215">
        <v>20000</v>
      </c>
    </row>
    <row r="22" spans="1:13" ht="16" x14ac:dyDescent="0.2">
      <c r="A22" s="148"/>
      <c r="B22" s="148"/>
      <c r="C22" s="148"/>
      <c r="D22" s="148" t="s">
        <v>225</v>
      </c>
      <c r="E22" s="18">
        <v>0</v>
      </c>
      <c r="F22" s="157">
        <v>0</v>
      </c>
      <c r="G22" s="168">
        <f t="shared" ref="G22:G27" si="4">SUM(E22:F22)</f>
        <v>0</v>
      </c>
      <c r="H22" s="18">
        <v>50000</v>
      </c>
      <c r="I22" s="156">
        <f>G22-H22</f>
        <v>-50000</v>
      </c>
      <c r="J22" s="163">
        <v>50000</v>
      </c>
      <c r="K22" s="144">
        <f>J22-H22</f>
        <v>0</v>
      </c>
      <c r="L22" s="215">
        <v>0</v>
      </c>
      <c r="M22" s="236" t="s">
        <v>226</v>
      </c>
    </row>
    <row r="23" spans="1:13" x14ac:dyDescent="0.2">
      <c r="A23" s="148"/>
      <c r="B23" s="148"/>
      <c r="C23" s="148"/>
      <c r="D23" s="148" t="s">
        <v>227</v>
      </c>
      <c r="E23" s="18">
        <v>818.32</v>
      </c>
      <c r="F23" s="157">
        <v>1000</v>
      </c>
      <c r="G23" s="167">
        <f t="shared" si="4"/>
        <v>1818.3200000000002</v>
      </c>
      <c r="H23" s="18">
        <v>2000</v>
      </c>
      <c r="I23" s="156">
        <f t="shared" si="3"/>
        <v>-181.67999999999984</v>
      </c>
      <c r="J23" s="163">
        <v>2000</v>
      </c>
      <c r="K23" s="144">
        <f t="shared" si="2"/>
        <v>0</v>
      </c>
      <c r="L23" s="215">
        <v>2000</v>
      </c>
    </row>
    <row r="24" spans="1:13" x14ac:dyDescent="0.2">
      <c r="A24" s="148"/>
      <c r="B24" s="148"/>
      <c r="C24" s="148"/>
      <c r="D24" s="148" t="s">
        <v>228</v>
      </c>
      <c r="E24" s="18">
        <v>8628.4</v>
      </c>
      <c r="F24" s="157">
        <v>0</v>
      </c>
      <c r="G24" s="167">
        <f t="shared" si="4"/>
        <v>8628.4</v>
      </c>
      <c r="H24" s="18">
        <v>8500</v>
      </c>
      <c r="I24" s="157">
        <f>G24-H24</f>
        <v>128.39999999999964</v>
      </c>
      <c r="J24" s="163">
        <v>8700</v>
      </c>
      <c r="K24" s="144">
        <f>J24-H24</f>
        <v>200</v>
      </c>
      <c r="L24" s="215">
        <v>9000</v>
      </c>
    </row>
    <row r="25" spans="1:13" x14ac:dyDescent="0.2">
      <c r="A25" s="148"/>
      <c r="B25" s="148"/>
      <c r="C25" s="148"/>
      <c r="D25" s="148" t="s">
        <v>229</v>
      </c>
      <c r="E25" s="140">
        <v>0</v>
      </c>
      <c r="F25" s="158">
        <v>0</v>
      </c>
      <c r="G25" s="169">
        <f t="shared" si="4"/>
        <v>0</v>
      </c>
      <c r="H25" s="140">
        <v>5000</v>
      </c>
      <c r="I25" s="158">
        <f>G25-H25</f>
        <v>-5000</v>
      </c>
      <c r="J25" s="164">
        <v>5000</v>
      </c>
      <c r="K25" s="145">
        <f>J25-H25</f>
        <v>0</v>
      </c>
      <c r="L25" s="216">
        <v>3000</v>
      </c>
    </row>
    <row r="26" spans="1:13" x14ac:dyDescent="0.2">
      <c r="A26" s="148"/>
      <c r="B26" s="148" t="s">
        <v>230</v>
      </c>
      <c r="C26" s="148" t="s">
        <v>231</v>
      </c>
      <c r="D26" s="148"/>
      <c r="E26" s="53">
        <f>SUM(E17:E25)</f>
        <v>38016.639999999999</v>
      </c>
      <c r="F26" s="156">
        <f>SUM(F17:F25)</f>
        <v>18400</v>
      </c>
      <c r="G26" s="168">
        <f t="shared" si="4"/>
        <v>56416.639999999999</v>
      </c>
      <c r="H26" s="53">
        <f>SUM(H17:H25)</f>
        <v>97100</v>
      </c>
      <c r="I26" s="156">
        <f>G26-H26</f>
        <v>-40683.360000000001</v>
      </c>
      <c r="J26" s="162">
        <f>SUM(J17:J25)</f>
        <v>98800</v>
      </c>
      <c r="K26" s="144">
        <f t="shared" si="2"/>
        <v>1700</v>
      </c>
      <c r="L26" s="211">
        <f>SUM(L17:L25)</f>
        <v>49600</v>
      </c>
    </row>
    <row r="27" spans="1:13" x14ac:dyDescent="0.2">
      <c r="A27" s="148"/>
      <c r="B27" s="148"/>
      <c r="C27" s="148" t="s">
        <v>67</v>
      </c>
      <c r="D27" s="148"/>
      <c r="E27" s="53">
        <f>E15-E26</f>
        <v>110514.26</v>
      </c>
      <c r="F27" s="156">
        <f>F15-F26</f>
        <v>31948.120000000003</v>
      </c>
      <c r="G27" s="168">
        <f t="shared" si="4"/>
        <v>142462.38</v>
      </c>
      <c r="H27" s="53">
        <f>H15-H26</f>
        <v>96771.1</v>
      </c>
      <c r="I27" s="156">
        <f>G27-H27</f>
        <v>45691.28</v>
      </c>
      <c r="J27" s="162">
        <f>J15-J26</f>
        <v>-54039.769999999939</v>
      </c>
      <c r="K27" s="144">
        <f t="shared" si="2"/>
        <v>-150810.86999999994</v>
      </c>
      <c r="L27" s="211">
        <f>L15-L26</f>
        <v>7748.25</v>
      </c>
    </row>
    <row r="28" spans="1:13" ht="16" thickBot="1" x14ac:dyDescent="0.25">
      <c r="A28" s="148"/>
      <c r="B28" s="148" t="s">
        <v>230</v>
      </c>
      <c r="C28" s="148"/>
      <c r="D28" s="148"/>
      <c r="E28" s="134">
        <f>E10+E27</f>
        <v>402369.57</v>
      </c>
      <c r="F28" s="208">
        <f>F10+F27</f>
        <v>323803.43</v>
      </c>
      <c r="G28" s="208">
        <f>G10+G27</f>
        <v>434317.69</v>
      </c>
      <c r="H28" s="134">
        <f>H10+H27</f>
        <v>390330.04000000004</v>
      </c>
      <c r="I28" s="208">
        <f t="shared" si="3"/>
        <v>43987.649999999965</v>
      </c>
      <c r="J28" s="209">
        <f>J10+J27</f>
        <v>380277.92000000004</v>
      </c>
      <c r="K28" s="210">
        <f t="shared" si="2"/>
        <v>-10052.119999999995</v>
      </c>
      <c r="L28" s="213">
        <f>L10+L27</f>
        <v>388026.17000000004</v>
      </c>
    </row>
    <row r="29" spans="1:13" ht="16" thickTop="1" x14ac:dyDescent="0.2">
      <c r="A29" s="147"/>
      <c r="B29" s="147"/>
      <c r="C29" s="147"/>
      <c r="D29" s="147"/>
      <c r="E29" s="53"/>
      <c r="F29" s="53"/>
      <c r="G29" s="53"/>
      <c r="H29" s="53"/>
      <c r="I29" s="53"/>
      <c r="J29" s="53"/>
      <c r="K29" s="53"/>
      <c r="L29" s="53"/>
    </row>
    <row r="30" spans="1:13" x14ac:dyDescent="0.2">
      <c r="A30" s="147"/>
      <c r="B30" s="147"/>
      <c r="C30" s="147"/>
      <c r="D30" s="147"/>
      <c r="E30" s="141"/>
      <c r="F30" s="141"/>
      <c r="G30" s="141"/>
    </row>
    <row r="31" spans="1:13" x14ac:dyDescent="0.2">
      <c r="A31" s="147"/>
      <c r="B31" s="147"/>
      <c r="C31" s="147"/>
      <c r="D31" s="147" t="s">
        <v>232</v>
      </c>
      <c r="E31" s="205">
        <v>2022</v>
      </c>
      <c r="F31" s="71">
        <v>2023</v>
      </c>
      <c r="G31" s="71" t="s">
        <v>9</v>
      </c>
    </row>
    <row r="32" spans="1:13" x14ac:dyDescent="0.2">
      <c r="A32" s="147"/>
      <c r="B32" s="147"/>
      <c r="C32" s="147"/>
      <c r="D32" s="172" t="s">
        <v>23</v>
      </c>
      <c r="E32" s="217">
        <v>3073.29</v>
      </c>
      <c r="F32" s="217">
        <f>'Dues Per Unit'!D10/4</f>
        <v>3073.2946636904762</v>
      </c>
      <c r="G32" s="217">
        <f>F32-E32</f>
        <v>4.6636904762635822E-3</v>
      </c>
    </row>
    <row r="33" spans="1:7" x14ac:dyDescent="0.2">
      <c r="A33" s="147"/>
      <c r="B33" s="147"/>
      <c r="C33" s="147"/>
      <c r="D33" s="172" t="s">
        <v>233</v>
      </c>
      <c r="E33" s="218">
        <v>597.38</v>
      </c>
      <c r="F33" s="218">
        <f>'Dues Per Unit'!E10/4</f>
        <v>597.37760416666663</v>
      </c>
      <c r="G33" s="217">
        <f>F33-E33</f>
        <v>-2.3958333333666815E-3</v>
      </c>
    </row>
    <row r="34" spans="1:7" ht="16" thickBot="1" x14ac:dyDescent="0.25">
      <c r="D34" s="3" t="s">
        <v>234</v>
      </c>
      <c r="E34" s="224">
        <f>SUM(E32:E33)</f>
        <v>3670.67</v>
      </c>
      <c r="F34" s="224">
        <f>SUM(F32:F33)</f>
        <v>3670.6722678571427</v>
      </c>
      <c r="G34" s="224">
        <f>F34-E34</f>
        <v>2.2678571426695271E-3</v>
      </c>
    </row>
    <row r="35" spans="1:7" ht="16" thickTop="1" x14ac:dyDescent="0.2">
      <c r="E35" s="27"/>
      <c r="F35" s="27"/>
      <c r="G35" s="27"/>
    </row>
    <row r="36" spans="1:7" x14ac:dyDescent="0.2">
      <c r="D36" s="147" t="s">
        <v>235</v>
      </c>
      <c r="E36" s="27"/>
      <c r="F36" s="27"/>
      <c r="G36" s="27"/>
    </row>
    <row r="38" spans="1:7" x14ac:dyDescent="0.2">
      <c r="D38" s="219" t="s">
        <v>236</v>
      </c>
      <c r="E38" s="17" t="s">
        <v>237</v>
      </c>
      <c r="F38" s="17" t="s">
        <v>238</v>
      </c>
      <c r="G38" s="53"/>
    </row>
    <row r="39" spans="1:7" x14ac:dyDescent="0.2">
      <c r="D39" s="221" t="s">
        <v>239</v>
      </c>
      <c r="E39" s="223">
        <v>2024</v>
      </c>
      <c r="F39" s="53">
        <v>50000</v>
      </c>
    </row>
    <row r="40" spans="1:7" x14ac:dyDescent="0.2">
      <c r="D40" s="221" t="s">
        <v>240</v>
      </c>
      <c r="E40" s="223">
        <v>2026</v>
      </c>
      <c r="F40" s="53">
        <v>300000</v>
      </c>
    </row>
    <row r="41" spans="1:7" x14ac:dyDescent="0.2">
      <c r="D41" s="221" t="s">
        <v>241</v>
      </c>
      <c r="E41" s="223">
        <v>2029</v>
      </c>
      <c r="F41" s="53">
        <v>50000</v>
      </c>
    </row>
    <row r="42" spans="1:7" x14ac:dyDescent="0.2">
      <c r="D42" s="221"/>
      <c r="E42" s="223"/>
      <c r="F42" s="222"/>
    </row>
    <row r="43" spans="1:7" x14ac:dyDescent="0.2">
      <c r="D43" s="220" t="s">
        <v>175</v>
      </c>
      <c r="F43" s="53">
        <f>SUM(F39:F42)</f>
        <v>400000</v>
      </c>
    </row>
    <row r="52" spans="5:7" x14ac:dyDescent="0.2">
      <c r="E52" s="53"/>
      <c r="F52" s="53"/>
      <c r="G52" s="53"/>
    </row>
    <row r="53" spans="5:7" x14ac:dyDescent="0.2">
      <c r="E53" s="53"/>
      <c r="F53" s="53"/>
      <c r="G53" s="53"/>
    </row>
    <row r="54" spans="5:7" x14ac:dyDescent="0.2">
      <c r="E54" s="53"/>
      <c r="F54" s="53"/>
      <c r="G54" s="53"/>
    </row>
    <row r="55" spans="5:7" x14ac:dyDescent="0.2">
      <c r="E55" s="53"/>
      <c r="F55" s="53"/>
      <c r="G55" s="53"/>
    </row>
    <row r="56" spans="5:7" x14ac:dyDescent="0.2">
      <c r="E56" s="53"/>
      <c r="F56" s="53"/>
      <c r="G56" s="53"/>
    </row>
    <row r="57" spans="5:7" x14ac:dyDescent="0.2">
      <c r="E57" s="53"/>
      <c r="F57" s="53"/>
      <c r="G57" s="53"/>
    </row>
    <row r="58" spans="5:7" x14ac:dyDescent="0.2">
      <c r="E58" s="53"/>
      <c r="F58" s="53"/>
      <c r="G58" s="53"/>
    </row>
    <row r="59" spans="5:7" x14ac:dyDescent="0.2">
      <c r="E59" s="53"/>
      <c r="F59" s="53"/>
      <c r="G59" s="53"/>
    </row>
    <row r="60" spans="5:7" x14ac:dyDescent="0.2">
      <c r="E60" s="53"/>
      <c r="F60" s="53"/>
      <c r="G60" s="53"/>
    </row>
    <row r="61" spans="5:7" x14ac:dyDescent="0.2">
      <c r="E61" s="53"/>
      <c r="F61" s="53"/>
      <c r="G61" s="53"/>
    </row>
    <row r="62" spans="5:7" x14ac:dyDescent="0.2">
      <c r="E62" s="53"/>
      <c r="F62" s="53"/>
      <c r="G62" s="53"/>
    </row>
  </sheetData>
  <mergeCells count="4">
    <mergeCell ref="A1:K1"/>
    <mergeCell ref="A2:K2"/>
    <mergeCell ref="A3:K3"/>
    <mergeCell ref="A4:K4"/>
  </mergeCells>
  <printOptions horizontalCentered="1"/>
  <pageMargins left="0.25" right="0.25" top="0.75" bottom="0.75" header="0.3" footer="0.3"/>
  <pageSetup scale="66" orientation="landscape" r:id="rId1"/>
  <headerFooter>
    <oddFooter xml:space="preserve">&amp;CFor Internal Use Only
</oddFooter>
  </headerFooter>
  <rowBreaks count="1" manualBreakCount="1">
    <brk id="2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6"/>
  <sheetViews>
    <sheetView topLeftCell="A8" zoomScaleNormal="100" workbookViewId="0">
      <pane xSplit="3" ySplit="1" topLeftCell="D9" activePane="bottomRight" state="frozen"/>
      <selection pane="topRight" activeCell="D8" sqref="D8"/>
      <selection pane="bottomLeft" activeCell="A9" sqref="A9"/>
      <selection pane="bottomRight" activeCell="A26" sqref="A26"/>
    </sheetView>
  </sheetViews>
  <sheetFormatPr baseColWidth="10" defaultColWidth="8.83203125" defaultRowHeight="15" x14ac:dyDescent="0.2"/>
  <cols>
    <col min="1" max="1" width="31.6640625" customWidth="1"/>
    <col min="2" max="2" width="13" hidden="1" customWidth="1"/>
    <col min="3" max="3" width="14.83203125" hidden="1" customWidth="1"/>
    <col min="4" max="4" width="15.33203125" customWidth="1"/>
    <col min="5" max="5" width="24.33203125" customWidth="1"/>
    <col min="6" max="6" width="19.5" hidden="1" customWidth="1"/>
    <col min="7" max="7" width="20.33203125" customWidth="1"/>
    <col min="8" max="8" width="21.6640625" customWidth="1"/>
    <col min="9" max="9" width="13.6640625" customWidth="1"/>
    <col min="10" max="10" width="10.5" bestFit="1" customWidth="1"/>
  </cols>
  <sheetData>
    <row r="1" spans="1:9" ht="19" x14ac:dyDescent="0.25">
      <c r="A1" s="244" t="s">
        <v>242</v>
      </c>
      <c r="B1" s="244"/>
      <c r="C1" s="244"/>
      <c r="D1" s="244"/>
      <c r="E1" s="244"/>
      <c r="F1" s="244"/>
      <c r="G1" s="244"/>
      <c r="H1" s="244"/>
      <c r="I1" s="244"/>
    </row>
    <row r="2" spans="1:9" ht="21" customHeight="1" x14ac:dyDescent="0.2"/>
    <row r="4" spans="1:9" ht="9.75" customHeight="1" x14ac:dyDescent="0.2"/>
    <row r="7" spans="1:9" s="5" customFormat="1" x14ac:dyDescent="0.2"/>
    <row r="8" spans="1:9" ht="112" thickBot="1" x14ac:dyDescent="0.25">
      <c r="A8" s="150" t="s">
        <v>243</v>
      </c>
      <c r="B8" s="151" t="s">
        <v>244</v>
      </c>
      <c r="C8" s="151" t="s">
        <v>245</v>
      </c>
      <c r="D8" s="151" t="s">
        <v>246</v>
      </c>
      <c r="E8" s="151" t="s">
        <v>247</v>
      </c>
      <c r="F8" s="151" t="s">
        <v>248</v>
      </c>
      <c r="G8" s="151" t="s">
        <v>249</v>
      </c>
      <c r="H8" s="151" t="s">
        <v>250</v>
      </c>
      <c r="I8" s="151" t="s">
        <v>251</v>
      </c>
    </row>
    <row r="9" spans="1:9" x14ac:dyDescent="0.2">
      <c r="A9" s="170"/>
      <c r="B9" s="171">
        <v>46944</v>
      </c>
      <c r="C9" s="171">
        <f>'Income Statement'!J10-'Dues Per Unit'!B9</f>
        <v>241386.00199999998</v>
      </c>
      <c r="D9" s="171">
        <f>SUM(B9:C9)</f>
        <v>288330.00199999998</v>
      </c>
      <c r="E9" s="171">
        <f>'Income Statement'!J11</f>
        <v>57348.25</v>
      </c>
      <c r="F9" s="153"/>
      <c r="G9" s="8">
        <f>'Income Statement'!J14</f>
        <v>70401.098000000013</v>
      </c>
      <c r="H9" s="153"/>
      <c r="I9" s="153"/>
    </row>
    <row r="10" spans="1:9" x14ac:dyDescent="0.2">
      <c r="A10" s="149" t="s">
        <v>252</v>
      </c>
      <c r="B10" s="53">
        <f>B$9/21</f>
        <v>2235.4285714285716</v>
      </c>
      <c r="C10" s="53">
        <f>C9/24</f>
        <v>10057.750083333332</v>
      </c>
      <c r="D10" s="171">
        <f>SUM(B10:C10)</f>
        <v>12293.178654761905</v>
      </c>
      <c r="E10" s="53">
        <f>E$9/24</f>
        <v>2389.5104166666665</v>
      </c>
      <c r="F10" s="53">
        <f>G10/2</f>
        <v>2942.5678749999997</v>
      </c>
      <c r="G10" s="8">
        <f>'Snow Removal Dues'!D4</f>
        <v>5885.1357499999995</v>
      </c>
      <c r="H10" s="8">
        <f t="shared" ref="H10:H33" si="0">SUM(D10:E10)/4</f>
        <v>3670.6722678571427</v>
      </c>
      <c r="I10" s="8">
        <f>SUM(H10,F10)</f>
        <v>6613.2401428571429</v>
      </c>
    </row>
    <row r="11" spans="1:9" x14ac:dyDescent="0.2">
      <c r="A11" s="149" t="s">
        <v>253</v>
      </c>
      <c r="B11" s="53">
        <f>B$9/21</f>
        <v>2235.4285714285716</v>
      </c>
      <c r="C11" s="53">
        <f>C10</f>
        <v>10057.750083333332</v>
      </c>
      <c r="D11" s="171">
        <f t="shared" ref="D11:D33" si="1">SUM(B11:C11)</f>
        <v>12293.178654761905</v>
      </c>
      <c r="E11" s="53">
        <f>E10</f>
        <v>2389.5104166666665</v>
      </c>
      <c r="F11" s="53">
        <f t="shared" ref="F11:F33" si="2">G11/2</f>
        <v>2255.7428749999999</v>
      </c>
      <c r="G11" s="8">
        <f>'Snow Removal Dues'!D5</f>
        <v>4511.4857499999998</v>
      </c>
      <c r="H11" s="8">
        <f t="shared" si="0"/>
        <v>3670.6722678571427</v>
      </c>
      <c r="I11" s="8">
        <f t="shared" ref="I11:I33" si="3">SUM(H11,F11)</f>
        <v>5926.4151428571422</v>
      </c>
    </row>
    <row r="12" spans="1:9" x14ac:dyDescent="0.2">
      <c r="A12" s="149" t="s">
        <v>254</v>
      </c>
      <c r="B12" s="53">
        <f>B$9/21</f>
        <v>2235.4285714285716</v>
      </c>
      <c r="C12" s="53">
        <f t="shared" ref="C12:C33" si="4">C11</f>
        <v>10057.750083333332</v>
      </c>
      <c r="D12" s="171">
        <f t="shared" si="1"/>
        <v>12293.178654761905</v>
      </c>
      <c r="E12" s="53">
        <f t="shared" ref="E12:E33" si="5">E11</f>
        <v>2389.5104166666665</v>
      </c>
      <c r="F12" s="53">
        <f t="shared" si="2"/>
        <v>2037.8678749999997</v>
      </c>
      <c r="G12" s="8">
        <f>'Snow Removal Dues'!D6</f>
        <v>4075.7357499999994</v>
      </c>
      <c r="H12" s="8">
        <f t="shared" si="0"/>
        <v>3670.6722678571427</v>
      </c>
      <c r="I12" s="8">
        <f t="shared" si="3"/>
        <v>5708.5401428571422</v>
      </c>
    </row>
    <row r="13" spans="1:9" x14ac:dyDescent="0.2">
      <c r="A13" s="149" t="s">
        <v>255</v>
      </c>
      <c r="B13" s="53">
        <f t="shared" ref="B13:B33" si="6">B$9/21</f>
        <v>2235.4285714285716</v>
      </c>
      <c r="C13" s="53">
        <f>C20</f>
        <v>10057.750083333332</v>
      </c>
      <c r="D13" s="171">
        <f>SUM(B13:C13)</f>
        <v>12293.178654761905</v>
      </c>
      <c r="E13" s="53">
        <f>E20</f>
        <v>2389.5104166666665</v>
      </c>
      <c r="F13" s="53">
        <f>G13/2</f>
        <v>1525.757875</v>
      </c>
      <c r="G13" s="8">
        <f>'Snow Removal Dues'!D15</f>
        <v>3051.51575</v>
      </c>
      <c r="H13" s="8">
        <f t="shared" si="0"/>
        <v>3670.6722678571427</v>
      </c>
      <c r="I13" s="8">
        <f>SUM(H13,F13)</f>
        <v>5196.4301428571425</v>
      </c>
    </row>
    <row r="14" spans="1:9" x14ac:dyDescent="0.2">
      <c r="A14" s="149" t="s">
        <v>256</v>
      </c>
      <c r="B14" s="53">
        <f>B$9/21</f>
        <v>2235.4285714285716</v>
      </c>
      <c r="C14" s="53">
        <f>C28</f>
        <v>10057.750083333332</v>
      </c>
      <c r="D14" s="171">
        <f t="shared" si="1"/>
        <v>12293.178654761905</v>
      </c>
      <c r="E14" s="53">
        <f>E28</f>
        <v>2389.5104166666665</v>
      </c>
      <c r="F14" s="53">
        <f t="shared" si="2"/>
        <v>926.08287499999994</v>
      </c>
      <c r="G14" s="8">
        <f>'Snow Removal Dues'!D7</f>
        <v>1852.1657499999999</v>
      </c>
      <c r="H14" s="8">
        <f t="shared" si="0"/>
        <v>3670.6722678571427</v>
      </c>
      <c r="I14" s="8">
        <f t="shared" si="3"/>
        <v>4596.7551428571423</v>
      </c>
    </row>
    <row r="15" spans="1:9" x14ac:dyDescent="0.2">
      <c r="A15" s="149" t="s">
        <v>257</v>
      </c>
      <c r="B15" s="8">
        <v>0</v>
      </c>
      <c r="C15" s="53">
        <f t="shared" si="4"/>
        <v>10057.750083333332</v>
      </c>
      <c r="D15" s="171">
        <f t="shared" si="1"/>
        <v>10057.750083333332</v>
      </c>
      <c r="E15" s="53">
        <f t="shared" si="5"/>
        <v>2389.5104166666665</v>
      </c>
      <c r="F15" s="53">
        <f t="shared" si="2"/>
        <v>1514.5528749999999</v>
      </c>
      <c r="G15" s="8">
        <f>'Snow Removal Dues'!D8</f>
        <v>3029.1057499999997</v>
      </c>
      <c r="H15" s="8">
        <f t="shared" si="0"/>
        <v>3111.8151249999996</v>
      </c>
      <c r="I15" s="8">
        <f t="shared" si="3"/>
        <v>4626.3679999999995</v>
      </c>
    </row>
    <row r="16" spans="1:9" x14ac:dyDescent="0.2">
      <c r="A16" s="149" t="s">
        <v>258</v>
      </c>
      <c r="B16" s="53">
        <f>B$9/21</f>
        <v>2235.4285714285716</v>
      </c>
      <c r="C16" s="53">
        <f t="shared" si="4"/>
        <v>10057.750083333332</v>
      </c>
      <c r="D16" s="171">
        <f t="shared" si="1"/>
        <v>12293.178654761905</v>
      </c>
      <c r="E16" s="53">
        <f t="shared" si="5"/>
        <v>2389.5104166666665</v>
      </c>
      <c r="F16" s="53">
        <f t="shared" si="2"/>
        <v>1832.4428749999997</v>
      </c>
      <c r="G16" s="8">
        <f>'Snow Removal Dues'!D9</f>
        <v>3664.8857499999995</v>
      </c>
      <c r="H16" s="8">
        <f t="shared" si="0"/>
        <v>3670.6722678571427</v>
      </c>
      <c r="I16" s="8">
        <f t="shared" si="3"/>
        <v>5503.1151428571429</v>
      </c>
    </row>
    <row r="17" spans="1:10" x14ac:dyDescent="0.2">
      <c r="A17" s="149" t="s">
        <v>259</v>
      </c>
      <c r="B17" s="8">
        <v>0</v>
      </c>
      <c r="C17" s="53">
        <f t="shared" si="4"/>
        <v>10057.750083333332</v>
      </c>
      <c r="D17" s="171">
        <f t="shared" si="1"/>
        <v>10057.750083333332</v>
      </c>
      <c r="E17" s="53">
        <f t="shared" si="5"/>
        <v>2389.5104166666665</v>
      </c>
      <c r="F17" s="53">
        <f t="shared" si="2"/>
        <v>2036.2078749999998</v>
      </c>
      <c r="G17" s="8">
        <f>'Snow Removal Dues'!D10</f>
        <v>4072.4157499999997</v>
      </c>
      <c r="H17" s="8">
        <f t="shared" si="0"/>
        <v>3111.8151249999996</v>
      </c>
      <c r="I17" s="8">
        <f t="shared" si="3"/>
        <v>5148.0229999999992</v>
      </c>
    </row>
    <row r="18" spans="1:10" x14ac:dyDescent="0.2">
      <c r="A18" s="149" t="s">
        <v>260</v>
      </c>
      <c r="B18" s="53">
        <f>B$9/21</f>
        <v>2235.4285714285716</v>
      </c>
      <c r="C18" s="53">
        <f>C23</f>
        <v>10057.750083333332</v>
      </c>
      <c r="D18" s="171">
        <f t="shared" si="1"/>
        <v>12293.178654761905</v>
      </c>
      <c r="E18" s="53">
        <f>E23</f>
        <v>2389.5104166666665</v>
      </c>
      <c r="F18" s="53">
        <f t="shared" si="2"/>
        <v>570.84287500000005</v>
      </c>
      <c r="G18" s="8">
        <f>'Snow Removal Dues'!D12</f>
        <v>1141.6857500000001</v>
      </c>
      <c r="H18" s="8">
        <f t="shared" si="0"/>
        <v>3670.6722678571427</v>
      </c>
      <c r="I18" s="8">
        <f t="shared" si="3"/>
        <v>4241.5151428571426</v>
      </c>
      <c r="J18" s="8"/>
    </row>
    <row r="19" spans="1:10" x14ac:dyDescent="0.2">
      <c r="A19" s="149" t="s">
        <v>261</v>
      </c>
      <c r="B19" s="8">
        <v>0</v>
      </c>
      <c r="C19" s="53">
        <f t="shared" si="4"/>
        <v>10057.750083333332</v>
      </c>
      <c r="D19" s="171">
        <f t="shared" si="1"/>
        <v>10057.750083333332</v>
      </c>
      <c r="E19" s="53">
        <f>E18</f>
        <v>2389.5104166666665</v>
      </c>
      <c r="F19" s="53">
        <f t="shared" si="2"/>
        <v>1107.852875</v>
      </c>
      <c r="G19" s="8">
        <f>'Snow Removal Dues'!D13</f>
        <v>2215.7057500000001</v>
      </c>
      <c r="H19" s="8">
        <f t="shared" si="0"/>
        <v>3111.8151249999996</v>
      </c>
      <c r="I19" s="8">
        <f t="shared" si="3"/>
        <v>4219.6679999999997</v>
      </c>
      <c r="J19" s="8"/>
    </row>
    <row r="20" spans="1:10" x14ac:dyDescent="0.2">
      <c r="A20" s="149" t="s">
        <v>262</v>
      </c>
      <c r="B20" s="53">
        <f t="shared" si="6"/>
        <v>2235.4285714285716</v>
      </c>
      <c r="C20" s="53">
        <f t="shared" si="4"/>
        <v>10057.750083333332</v>
      </c>
      <c r="D20" s="171">
        <f t="shared" si="1"/>
        <v>12293.178654761905</v>
      </c>
      <c r="E20" s="53">
        <f t="shared" si="5"/>
        <v>2389.5104166666665</v>
      </c>
      <c r="F20" s="53">
        <f t="shared" si="2"/>
        <v>1512.892875</v>
      </c>
      <c r="G20" s="8">
        <f>'Snow Removal Dues'!D14</f>
        <v>3025.78575</v>
      </c>
      <c r="H20" s="8">
        <f t="shared" si="0"/>
        <v>3670.6722678571427</v>
      </c>
      <c r="I20" s="8">
        <f t="shared" si="3"/>
        <v>5183.5651428571427</v>
      </c>
    </row>
    <row r="21" spans="1:10" x14ac:dyDescent="0.2">
      <c r="A21" s="149" t="s">
        <v>263</v>
      </c>
      <c r="B21" s="53">
        <f t="shared" si="6"/>
        <v>2235.4285714285716</v>
      </c>
      <c r="C21" s="53">
        <f>C13</f>
        <v>10057.750083333332</v>
      </c>
      <c r="D21" s="171">
        <f t="shared" si="1"/>
        <v>12293.178654761905</v>
      </c>
      <c r="E21" s="53">
        <f>E13</f>
        <v>2389.5104166666665</v>
      </c>
      <c r="F21" s="53">
        <f t="shared" si="2"/>
        <v>743.897875</v>
      </c>
      <c r="G21" s="8">
        <f>'Snow Removal Dues'!D16</f>
        <v>1487.79575</v>
      </c>
      <c r="H21" s="8">
        <f t="shared" si="0"/>
        <v>3670.6722678571427</v>
      </c>
      <c r="I21" s="8">
        <f t="shared" si="3"/>
        <v>4414.5701428571429</v>
      </c>
    </row>
    <row r="22" spans="1:10" x14ac:dyDescent="0.2">
      <c r="A22" s="149" t="s">
        <v>264</v>
      </c>
      <c r="B22" s="53">
        <f t="shared" si="6"/>
        <v>2235.4285714285716</v>
      </c>
      <c r="C22" s="53">
        <f t="shared" si="4"/>
        <v>10057.750083333332</v>
      </c>
      <c r="D22" s="171">
        <f t="shared" si="1"/>
        <v>12293.178654761905</v>
      </c>
      <c r="E22" s="53">
        <f t="shared" si="5"/>
        <v>2389.5104166666665</v>
      </c>
      <c r="F22" s="53">
        <f t="shared" si="2"/>
        <v>617.32287499999995</v>
      </c>
      <c r="G22" s="8">
        <f>'Snow Removal Dues'!D17</f>
        <v>1234.6457499999999</v>
      </c>
      <c r="H22" s="8">
        <f t="shared" si="0"/>
        <v>3670.6722678571427</v>
      </c>
      <c r="I22" s="8">
        <f t="shared" si="3"/>
        <v>4287.995142857143</v>
      </c>
    </row>
    <row r="23" spans="1:10" x14ac:dyDescent="0.2">
      <c r="A23" s="149" t="s">
        <v>265</v>
      </c>
      <c r="B23" s="53">
        <f>B$9/21</f>
        <v>2235.4285714285716</v>
      </c>
      <c r="C23" s="53">
        <f>C17</f>
        <v>10057.750083333332</v>
      </c>
      <c r="D23" s="171">
        <f>SUM(B23:C23)</f>
        <v>12293.178654761905</v>
      </c>
      <c r="E23" s="53">
        <f>E17</f>
        <v>2389.5104166666665</v>
      </c>
      <c r="F23" s="53">
        <f>G23/2</f>
        <v>2093.0628749999996</v>
      </c>
      <c r="G23" s="8">
        <f>'Snow Removal Dues'!D11</f>
        <v>4186.1257499999992</v>
      </c>
      <c r="H23" s="8">
        <f t="shared" si="0"/>
        <v>3670.6722678571427</v>
      </c>
      <c r="I23" s="8">
        <f>SUM(H23,F23)</f>
        <v>5763.7351428571419</v>
      </c>
    </row>
    <row r="24" spans="1:10" x14ac:dyDescent="0.2">
      <c r="A24" s="149" t="s">
        <v>266</v>
      </c>
      <c r="B24" s="53">
        <f t="shared" si="6"/>
        <v>2235.4285714285716</v>
      </c>
      <c r="C24" s="53">
        <f>C22</f>
        <v>10057.750083333332</v>
      </c>
      <c r="D24" s="171">
        <f t="shared" si="1"/>
        <v>12293.178654761905</v>
      </c>
      <c r="E24" s="53">
        <f>E22</f>
        <v>2389.5104166666665</v>
      </c>
      <c r="F24" s="53">
        <f t="shared" si="2"/>
        <v>1027.342875</v>
      </c>
      <c r="G24" s="8">
        <f>'Snow Removal Dues'!D18</f>
        <v>2054.6857500000001</v>
      </c>
      <c r="H24" s="8">
        <f t="shared" si="0"/>
        <v>3670.6722678571427</v>
      </c>
      <c r="I24" s="8">
        <f t="shared" si="3"/>
        <v>4698.0151428571426</v>
      </c>
    </row>
    <row r="25" spans="1:10" x14ac:dyDescent="0.2">
      <c r="A25" s="149" t="s">
        <v>267</v>
      </c>
      <c r="B25" s="53">
        <f t="shared" si="6"/>
        <v>2235.4285714285716</v>
      </c>
      <c r="C25" s="53">
        <f t="shared" si="4"/>
        <v>10057.750083333332</v>
      </c>
      <c r="D25" s="171">
        <f t="shared" si="1"/>
        <v>12293.178654761905</v>
      </c>
      <c r="E25" s="53">
        <f t="shared" si="5"/>
        <v>2389.5104166666665</v>
      </c>
      <c r="F25" s="53">
        <f t="shared" si="2"/>
        <v>1779.3228749999998</v>
      </c>
      <c r="G25" s="8">
        <f>'Snow Removal Dues'!D19</f>
        <v>3558.6457499999997</v>
      </c>
      <c r="H25" s="8">
        <f t="shared" si="0"/>
        <v>3670.6722678571427</v>
      </c>
      <c r="I25" s="8">
        <f t="shared" si="3"/>
        <v>5449.9951428571421</v>
      </c>
    </row>
    <row r="26" spans="1:10" x14ac:dyDescent="0.2">
      <c r="A26" s="149" t="s">
        <v>268</v>
      </c>
      <c r="B26" s="53">
        <f t="shared" si="6"/>
        <v>2235.4285714285716</v>
      </c>
      <c r="C26" s="53">
        <f t="shared" si="4"/>
        <v>10057.750083333332</v>
      </c>
      <c r="D26" s="171">
        <f t="shared" si="1"/>
        <v>12293.178654761905</v>
      </c>
      <c r="E26" s="53">
        <f t="shared" si="5"/>
        <v>2389.5104166666665</v>
      </c>
      <c r="F26" s="53">
        <f t="shared" si="2"/>
        <v>1355.192875</v>
      </c>
      <c r="G26" s="8">
        <f>'Snow Removal Dues'!D20</f>
        <v>2710.3857499999999</v>
      </c>
      <c r="H26" s="8">
        <f t="shared" si="0"/>
        <v>3670.6722678571427</v>
      </c>
      <c r="I26" s="8">
        <f t="shared" si="3"/>
        <v>5025.8651428571429</v>
      </c>
    </row>
    <row r="27" spans="1:10" x14ac:dyDescent="0.2">
      <c r="A27" s="149" t="s">
        <v>269</v>
      </c>
      <c r="B27" s="53">
        <f t="shared" si="6"/>
        <v>2235.4285714285716</v>
      </c>
      <c r="C27" s="53">
        <f t="shared" si="4"/>
        <v>10057.750083333332</v>
      </c>
      <c r="D27" s="171">
        <f t="shared" si="1"/>
        <v>12293.178654761905</v>
      </c>
      <c r="E27" s="53">
        <f t="shared" si="5"/>
        <v>2389.5104166666665</v>
      </c>
      <c r="F27" s="53">
        <f t="shared" si="2"/>
        <v>1271.777875</v>
      </c>
      <c r="G27" s="8">
        <f>'Snow Removal Dues'!D21</f>
        <v>2543.55575</v>
      </c>
      <c r="H27" s="8">
        <f t="shared" si="0"/>
        <v>3670.6722678571427</v>
      </c>
      <c r="I27" s="8">
        <f t="shared" si="3"/>
        <v>4942.450142857143</v>
      </c>
    </row>
    <row r="28" spans="1:10" x14ac:dyDescent="0.2">
      <c r="A28" s="149" t="s">
        <v>270</v>
      </c>
      <c r="B28" s="53">
        <f>B$9/21</f>
        <v>2235.4285714285716</v>
      </c>
      <c r="C28" s="53">
        <f>C12</f>
        <v>10057.750083333332</v>
      </c>
      <c r="D28" s="171">
        <f>SUM(B28:C28)</f>
        <v>12293.178654761905</v>
      </c>
      <c r="E28" s="53">
        <f>E12</f>
        <v>2389.5104166666665</v>
      </c>
      <c r="F28" s="53">
        <f>G28/2</f>
        <v>1258.912875</v>
      </c>
      <c r="G28" s="8">
        <f>'Snow Removal Dues'!D22</f>
        <v>2517.82575</v>
      </c>
      <c r="H28" s="8">
        <f t="shared" si="0"/>
        <v>3670.6722678571427</v>
      </c>
      <c r="I28" s="8">
        <f>SUM(H28,F28)</f>
        <v>4929.5851428571423</v>
      </c>
    </row>
    <row r="29" spans="1:10" x14ac:dyDescent="0.2">
      <c r="A29" s="149" t="s">
        <v>271</v>
      </c>
      <c r="B29" s="53">
        <f t="shared" si="6"/>
        <v>2235.4285714285716</v>
      </c>
      <c r="C29" s="53">
        <f>C27</f>
        <v>10057.750083333332</v>
      </c>
      <c r="D29" s="171">
        <f t="shared" si="1"/>
        <v>12293.178654761905</v>
      </c>
      <c r="E29" s="53">
        <f>E27</f>
        <v>2389.5104166666665</v>
      </c>
      <c r="F29" s="53">
        <f t="shared" si="2"/>
        <v>1014.892875</v>
      </c>
      <c r="G29" s="8">
        <f>'Snow Removal Dues'!D23</f>
        <v>2029.78575</v>
      </c>
      <c r="H29" s="8">
        <f t="shared" si="0"/>
        <v>3670.6722678571427</v>
      </c>
      <c r="I29" s="8">
        <f t="shared" si="3"/>
        <v>4685.5651428571427</v>
      </c>
    </row>
    <row r="30" spans="1:10" x14ac:dyDescent="0.2">
      <c r="A30" s="149" t="s">
        <v>272</v>
      </c>
      <c r="B30" s="53">
        <f t="shared" si="6"/>
        <v>2235.4285714285716</v>
      </c>
      <c r="C30" s="53">
        <f t="shared" si="4"/>
        <v>10057.750083333332</v>
      </c>
      <c r="D30" s="171">
        <f t="shared" si="1"/>
        <v>12293.178654761905</v>
      </c>
      <c r="E30" s="53">
        <f t="shared" si="5"/>
        <v>2389.5104166666665</v>
      </c>
      <c r="F30" s="53">
        <f t="shared" si="2"/>
        <v>1883.0728749999998</v>
      </c>
      <c r="G30" s="8">
        <f>'Snow Removal Dues'!D24</f>
        <v>3766.1457499999997</v>
      </c>
      <c r="H30" s="8">
        <f t="shared" si="0"/>
        <v>3670.6722678571427</v>
      </c>
      <c r="I30" s="8">
        <f t="shared" si="3"/>
        <v>5553.7451428571421</v>
      </c>
    </row>
    <row r="31" spans="1:10" x14ac:dyDescent="0.2">
      <c r="A31" s="149" t="s">
        <v>273</v>
      </c>
      <c r="B31" s="53">
        <f t="shared" si="6"/>
        <v>2235.4285714285716</v>
      </c>
      <c r="C31" s="53">
        <f t="shared" si="4"/>
        <v>10057.750083333332</v>
      </c>
      <c r="D31" s="171">
        <f t="shared" si="1"/>
        <v>12293.178654761905</v>
      </c>
      <c r="E31" s="53">
        <f t="shared" si="5"/>
        <v>2389.5104166666665</v>
      </c>
      <c r="F31" s="53">
        <f t="shared" si="2"/>
        <v>1756.0828749999998</v>
      </c>
      <c r="G31" s="8">
        <f>'Snow Removal Dues'!D25</f>
        <v>3512.1657499999997</v>
      </c>
      <c r="H31" s="8">
        <f t="shared" si="0"/>
        <v>3670.6722678571427</v>
      </c>
      <c r="I31" s="8">
        <f t="shared" si="3"/>
        <v>5426.7551428571423</v>
      </c>
    </row>
    <row r="32" spans="1:10" x14ac:dyDescent="0.2">
      <c r="A32" s="149" t="s">
        <v>274</v>
      </c>
      <c r="B32" s="53">
        <f t="shared" si="6"/>
        <v>2235.4285714285716</v>
      </c>
      <c r="C32" s="53">
        <f t="shared" si="4"/>
        <v>10057.750083333332</v>
      </c>
      <c r="D32" s="171">
        <f t="shared" si="1"/>
        <v>12293.178654761905</v>
      </c>
      <c r="E32" s="53">
        <f t="shared" si="5"/>
        <v>2389.5104166666665</v>
      </c>
      <c r="F32" s="53">
        <f t="shared" si="2"/>
        <v>1031.4928749999999</v>
      </c>
      <c r="G32" s="8">
        <f>'Snow Removal Dues'!D26</f>
        <v>2062.9857499999998</v>
      </c>
      <c r="H32" s="8">
        <f t="shared" si="0"/>
        <v>3670.6722678571427</v>
      </c>
      <c r="I32" s="8">
        <f t="shared" si="3"/>
        <v>4702.1651428571422</v>
      </c>
    </row>
    <row r="33" spans="1:9" x14ac:dyDescent="0.2">
      <c r="A33" s="149" t="s">
        <v>275</v>
      </c>
      <c r="B33" s="140">
        <f t="shared" si="6"/>
        <v>2235.4285714285716</v>
      </c>
      <c r="C33" s="140">
        <f t="shared" si="4"/>
        <v>10057.750083333332</v>
      </c>
      <c r="D33" s="204">
        <f t="shared" si="1"/>
        <v>12293.178654761905</v>
      </c>
      <c r="E33" s="140">
        <f t="shared" si="5"/>
        <v>2389.5104166666665</v>
      </c>
      <c r="F33" s="140">
        <f t="shared" si="2"/>
        <v>1105.362875</v>
      </c>
      <c r="G33" s="152">
        <f>'Snow Removal Dues'!D27</f>
        <v>2210.7257500000001</v>
      </c>
      <c r="H33" s="152">
        <f t="shared" si="0"/>
        <v>3670.6722678571427</v>
      </c>
      <c r="I33" s="152">
        <f t="shared" si="3"/>
        <v>4776.035142857143</v>
      </c>
    </row>
    <row r="34" spans="1:9" x14ac:dyDescent="0.2">
      <c r="B34" s="8">
        <f t="shared" ref="B34:I34" si="7">SUM(B10:B33)</f>
        <v>46944.000000000015</v>
      </c>
      <c r="C34" s="8">
        <f>SUM(C10:C33)</f>
        <v>241386.00200000009</v>
      </c>
      <c r="D34" s="8">
        <f t="shared" si="7"/>
        <v>288330.00199999998</v>
      </c>
      <c r="E34" s="8">
        <f t="shared" si="7"/>
        <v>57348.249999999978</v>
      </c>
      <c r="F34" s="8">
        <f t="shared" si="7"/>
        <v>35200.549000000006</v>
      </c>
      <c r="G34" s="8">
        <f t="shared" si="7"/>
        <v>70401.098000000013</v>
      </c>
      <c r="H34" s="8">
        <f t="shared" si="7"/>
        <v>86419.563000000009</v>
      </c>
      <c r="I34" s="8">
        <f t="shared" si="7"/>
        <v>121620.11199999999</v>
      </c>
    </row>
    <row r="36" spans="1:9" x14ac:dyDescent="0.2">
      <c r="A36" s="149" t="s">
        <v>276</v>
      </c>
    </row>
    <row r="41" spans="1:9" s="3" customFormat="1" ht="15.75" customHeight="1" x14ac:dyDescent="0.15"/>
    <row r="42" spans="1:9" s="3" customFormat="1" ht="15.75" customHeight="1" x14ac:dyDescent="0.15"/>
    <row r="43" spans="1:9" s="3" customFormat="1" ht="15.75" customHeight="1" x14ac:dyDescent="0.15"/>
    <row r="44" spans="1:9" s="3" customFormat="1" ht="15.75" customHeight="1" x14ac:dyDescent="0.15"/>
    <row r="45" spans="1:9" s="3" customFormat="1" ht="15.75" customHeight="1" x14ac:dyDescent="0.15"/>
    <row r="46" spans="1:9" x14ac:dyDescent="0.2">
      <c r="A46" s="53"/>
    </row>
  </sheetData>
  <mergeCells count="1">
    <mergeCell ref="A1:I1"/>
  </mergeCells>
  <printOptions horizontalCentered="1"/>
  <pageMargins left="0.25" right="0.25" top="0.75" bottom="0.75" header="0.3" footer="0.3"/>
  <pageSetup scale="74" orientation="portrait" r:id="rId1"/>
  <headerFooter>
    <oddFooter xml:space="preserve">&amp;C
</oddFooter>
  </headerFooter>
  <rowBreaks count="1" manualBreakCount="1">
    <brk id="2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4"/>
  <sheetViews>
    <sheetView workbookViewId="0">
      <selection activeCell="C22" sqref="C22"/>
    </sheetView>
  </sheetViews>
  <sheetFormatPr baseColWidth="10" defaultColWidth="8.83203125" defaultRowHeight="15" x14ac:dyDescent="0.2"/>
  <cols>
    <col min="1" max="1" width="24.5" bestFit="1" customWidth="1"/>
    <col min="2" max="2" width="11" bestFit="1" customWidth="1"/>
    <col min="3" max="5" width="8.5" bestFit="1" customWidth="1"/>
    <col min="6" max="10" width="9.5" bestFit="1" customWidth="1"/>
    <col min="11" max="12" width="8.5" bestFit="1" customWidth="1"/>
    <col min="13" max="23" width="9.5" bestFit="1" customWidth="1"/>
  </cols>
  <sheetData>
    <row r="1" spans="1:23" ht="21" x14ac:dyDescent="0.25">
      <c r="A1" s="191" t="s">
        <v>0</v>
      </c>
    </row>
    <row r="2" spans="1:23" ht="21" x14ac:dyDescent="0.25">
      <c r="A2" s="191" t="s">
        <v>277</v>
      </c>
    </row>
    <row r="4" spans="1:23" x14ac:dyDescent="0.2">
      <c r="A4" t="s">
        <v>278</v>
      </c>
      <c r="B4" s="5"/>
      <c r="C4">
        <v>2020</v>
      </c>
      <c r="D4">
        <v>2021</v>
      </c>
      <c r="E4">
        <v>2022</v>
      </c>
      <c r="F4">
        <v>2023</v>
      </c>
      <c r="G4">
        <v>2024</v>
      </c>
      <c r="H4">
        <v>2025</v>
      </c>
      <c r="I4">
        <v>2026</v>
      </c>
      <c r="J4">
        <v>2027</v>
      </c>
      <c r="K4">
        <v>2028</v>
      </c>
      <c r="L4">
        <v>2029</v>
      </c>
      <c r="M4">
        <v>2030</v>
      </c>
      <c r="N4">
        <v>2031</v>
      </c>
      <c r="O4">
        <v>2032</v>
      </c>
      <c r="P4">
        <v>2033</v>
      </c>
      <c r="Q4">
        <v>2034</v>
      </c>
      <c r="R4">
        <v>2035</v>
      </c>
      <c r="S4">
        <v>2036</v>
      </c>
      <c r="T4">
        <v>2037</v>
      </c>
      <c r="U4">
        <v>2038</v>
      </c>
      <c r="V4">
        <v>2039</v>
      </c>
      <c r="W4">
        <v>2040</v>
      </c>
    </row>
    <row r="5" spans="1:23" x14ac:dyDescent="0.2">
      <c r="A5" s="173"/>
      <c r="B5" s="174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</row>
    <row r="6" spans="1:23" x14ac:dyDescent="0.2">
      <c r="A6" s="173" t="s">
        <v>279</v>
      </c>
      <c r="B6" s="174"/>
      <c r="C6" s="175">
        <v>0</v>
      </c>
      <c r="D6" s="176">
        <f>C10</f>
        <v>0</v>
      </c>
      <c r="E6" s="176">
        <f t="shared" ref="E6:W6" si="0">D10</f>
        <v>30600</v>
      </c>
      <c r="F6" s="176">
        <f t="shared" si="0"/>
        <v>53400</v>
      </c>
      <c r="G6" s="176">
        <f t="shared" si="0"/>
        <v>106200</v>
      </c>
      <c r="H6" s="176">
        <f t="shared" si="0"/>
        <v>134000</v>
      </c>
      <c r="I6" s="176">
        <f t="shared" si="0"/>
        <v>186800</v>
      </c>
      <c r="J6" s="176">
        <f t="shared" si="0"/>
        <v>239600</v>
      </c>
      <c r="K6" s="176">
        <f t="shared" si="0"/>
        <v>-7600</v>
      </c>
      <c r="L6" s="176">
        <f t="shared" si="0"/>
        <v>45200</v>
      </c>
      <c r="M6" s="176">
        <f t="shared" si="0"/>
        <v>48000</v>
      </c>
      <c r="N6" s="176">
        <f t="shared" si="0"/>
        <v>100800</v>
      </c>
      <c r="O6" s="176">
        <f t="shared" si="0"/>
        <v>153600</v>
      </c>
      <c r="P6" s="176">
        <f t="shared" si="0"/>
        <v>166400</v>
      </c>
      <c r="Q6" s="176">
        <f t="shared" si="0"/>
        <v>219200</v>
      </c>
      <c r="R6" s="176">
        <f t="shared" si="0"/>
        <v>272000</v>
      </c>
      <c r="S6" s="176">
        <f t="shared" si="0"/>
        <v>324800</v>
      </c>
      <c r="T6" s="176">
        <f t="shared" si="0"/>
        <v>377600</v>
      </c>
      <c r="U6" s="176">
        <f t="shared" si="0"/>
        <v>430400</v>
      </c>
      <c r="V6" s="176">
        <f t="shared" si="0"/>
        <v>483200</v>
      </c>
      <c r="W6" s="176">
        <f t="shared" si="0"/>
        <v>476000</v>
      </c>
    </row>
    <row r="7" spans="1:23" x14ac:dyDescent="0.2">
      <c r="A7" s="173" t="s">
        <v>280</v>
      </c>
      <c r="B7" s="174"/>
      <c r="C7" s="176">
        <f>C22*C24</f>
        <v>52800</v>
      </c>
      <c r="D7" s="176">
        <f t="shared" ref="D7:W7" si="1">D22*D24</f>
        <v>52800</v>
      </c>
      <c r="E7" s="176">
        <f t="shared" si="1"/>
        <v>52800</v>
      </c>
      <c r="F7" s="176">
        <f t="shared" si="1"/>
        <v>52800</v>
      </c>
      <c r="G7" s="176">
        <f t="shared" si="1"/>
        <v>52800</v>
      </c>
      <c r="H7" s="176">
        <f t="shared" si="1"/>
        <v>52800</v>
      </c>
      <c r="I7" s="176">
        <f t="shared" si="1"/>
        <v>52800</v>
      </c>
      <c r="J7" s="176">
        <f t="shared" si="1"/>
        <v>52800</v>
      </c>
      <c r="K7" s="176">
        <f t="shared" si="1"/>
        <v>52800</v>
      </c>
      <c r="L7" s="176">
        <f t="shared" si="1"/>
        <v>52800</v>
      </c>
      <c r="M7" s="176">
        <f t="shared" si="1"/>
        <v>52800</v>
      </c>
      <c r="N7" s="176">
        <f t="shared" si="1"/>
        <v>52800</v>
      </c>
      <c r="O7" s="176">
        <f t="shared" si="1"/>
        <v>52800</v>
      </c>
      <c r="P7" s="176">
        <f t="shared" si="1"/>
        <v>52800</v>
      </c>
      <c r="Q7" s="176">
        <f t="shared" si="1"/>
        <v>52800</v>
      </c>
      <c r="R7" s="176">
        <f t="shared" si="1"/>
        <v>52800</v>
      </c>
      <c r="S7" s="176">
        <f t="shared" si="1"/>
        <v>52800</v>
      </c>
      <c r="T7" s="176">
        <f t="shared" si="1"/>
        <v>52800</v>
      </c>
      <c r="U7" s="176">
        <f t="shared" si="1"/>
        <v>52800</v>
      </c>
      <c r="V7" s="176">
        <f t="shared" si="1"/>
        <v>52800</v>
      </c>
      <c r="W7" s="176">
        <f t="shared" si="1"/>
        <v>52800</v>
      </c>
    </row>
    <row r="8" spans="1:23" x14ac:dyDescent="0.2">
      <c r="A8" s="173" t="s">
        <v>78</v>
      </c>
      <c r="B8" s="174"/>
      <c r="C8" s="176">
        <f>-C19</f>
        <v>-75000</v>
      </c>
      <c r="D8" s="176">
        <f t="shared" ref="D8:W8" si="2">-D19</f>
        <v>0</v>
      </c>
      <c r="E8" s="176">
        <f t="shared" si="2"/>
        <v>-30000</v>
      </c>
      <c r="F8" s="176">
        <f t="shared" si="2"/>
        <v>0</v>
      </c>
      <c r="G8" s="176">
        <f t="shared" si="2"/>
        <v>-25000</v>
      </c>
      <c r="H8" s="176">
        <f t="shared" si="2"/>
        <v>0</v>
      </c>
      <c r="I8" s="176">
        <f t="shared" si="2"/>
        <v>0</v>
      </c>
      <c r="J8" s="176">
        <f t="shared" si="2"/>
        <v>-300000</v>
      </c>
      <c r="K8" s="176">
        <f t="shared" si="2"/>
        <v>0</v>
      </c>
      <c r="L8" s="176">
        <f t="shared" si="2"/>
        <v>-50000</v>
      </c>
      <c r="M8" s="176">
        <f t="shared" si="2"/>
        <v>0</v>
      </c>
      <c r="N8" s="176">
        <f t="shared" si="2"/>
        <v>0</v>
      </c>
      <c r="O8" s="176">
        <f t="shared" si="2"/>
        <v>-40000</v>
      </c>
      <c r="P8" s="176">
        <f t="shared" si="2"/>
        <v>0</v>
      </c>
      <c r="Q8" s="176">
        <f t="shared" si="2"/>
        <v>0</v>
      </c>
      <c r="R8" s="176">
        <f t="shared" si="2"/>
        <v>0</v>
      </c>
      <c r="S8" s="176">
        <f t="shared" si="2"/>
        <v>0</v>
      </c>
      <c r="T8" s="176">
        <f t="shared" si="2"/>
        <v>0</v>
      </c>
      <c r="U8" s="176">
        <f t="shared" si="2"/>
        <v>0</v>
      </c>
      <c r="V8" s="176">
        <f t="shared" si="2"/>
        <v>-60000</v>
      </c>
      <c r="W8" s="176">
        <f t="shared" si="2"/>
        <v>-100000</v>
      </c>
    </row>
    <row r="9" spans="1:23" x14ac:dyDescent="0.2">
      <c r="A9" s="173" t="s">
        <v>281</v>
      </c>
      <c r="B9" s="174"/>
      <c r="C9" s="176">
        <f>C13-C7</f>
        <v>22200</v>
      </c>
      <c r="D9" s="176">
        <f>-C9</f>
        <v>-22200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</row>
    <row r="10" spans="1:23" ht="16" x14ac:dyDescent="0.2">
      <c r="A10" s="177" t="s">
        <v>282</v>
      </c>
      <c r="B10" s="178"/>
      <c r="C10" s="179">
        <f>SUM(C6:C9)</f>
        <v>0</v>
      </c>
      <c r="D10" s="179">
        <f t="shared" ref="D10:W10" si="3">SUM(D6:D9)</f>
        <v>30600</v>
      </c>
      <c r="E10" s="179">
        <f t="shared" si="3"/>
        <v>53400</v>
      </c>
      <c r="F10" s="179">
        <f t="shared" si="3"/>
        <v>106200</v>
      </c>
      <c r="G10" s="179">
        <f t="shared" si="3"/>
        <v>134000</v>
      </c>
      <c r="H10" s="179">
        <f t="shared" si="3"/>
        <v>186800</v>
      </c>
      <c r="I10" s="179">
        <f t="shared" si="3"/>
        <v>239600</v>
      </c>
      <c r="J10" s="179">
        <f t="shared" si="3"/>
        <v>-7600</v>
      </c>
      <c r="K10" s="179">
        <f t="shared" si="3"/>
        <v>45200</v>
      </c>
      <c r="L10" s="179">
        <f t="shared" si="3"/>
        <v>48000</v>
      </c>
      <c r="M10" s="179">
        <f t="shared" si="3"/>
        <v>100800</v>
      </c>
      <c r="N10" s="179">
        <f t="shared" si="3"/>
        <v>153600</v>
      </c>
      <c r="O10" s="179">
        <f t="shared" si="3"/>
        <v>166400</v>
      </c>
      <c r="P10" s="179">
        <f t="shared" si="3"/>
        <v>219200</v>
      </c>
      <c r="Q10" s="179">
        <f t="shared" si="3"/>
        <v>272000</v>
      </c>
      <c r="R10" s="179">
        <f t="shared" si="3"/>
        <v>324800</v>
      </c>
      <c r="S10" s="179">
        <f t="shared" si="3"/>
        <v>377600</v>
      </c>
      <c r="T10" s="179">
        <f t="shared" si="3"/>
        <v>430400</v>
      </c>
      <c r="U10" s="179">
        <f t="shared" si="3"/>
        <v>483200</v>
      </c>
      <c r="V10" s="179">
        <f t="shared" si="3"/>
        <v>476000</v>
      </c>
      <c r="W10" s="179">
        <f t="shared" si="3"/>
        <v>428800</v>
      </c>
    </row>
    <row r="11" spans="1:23" ht="16" x14ac:dyDescent="0.2">
      <c r="A11" s="177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</row>
    <row r="12" spans="1:23" ht="16" x14ac:dyDescent="0.2">
      <c r="A12" s="180" t="s">
        <v>283</v>
      </c>
      <c r="B12" s="181" t="s">
        <v>284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</row>
    <row r="13" spans="1:23" x14ac:dyDescent="0.2">
      <c r="A13" s="182" t="s">
        <v>285</v>
      </c>
      <c r="B13" s="183" t="s">
        <v>286</v>
      </c>
      <c r="C13" s="175">
        <v>75000</v>
      </c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5">
        <v>100000</v>
      </c>
    </row>
    <row r="14" spans="1:23" x14ac:dyDescent="0.2">
      <c r="A14" s="182" t="s">
        <v>287</v>
      </c>
      <c r="B14" s="183" t="s">
        <v>288</v>
      </c>
      <c r="C14" s="176"/>
      <c r="D14" s="176"/>
      <c r="E14" s="176"/>
      <c r="F14" s="176"/>
      <c r="G14" s="176"/>
      <c r="H14" s="176"/>
      <c r="I14" s="176"/>
      <c r="J14" s="175">
        <v>300000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</row>
    <row r="15" spans="1:23" x14ac:dyDescent="0.2">
      <c r="A15" s="182" t="s">
        <v>289</v>
      </c>
      <c r="B15" s="183" t="s">
        <v>290</v>
      </c>
      <c r="C15" s="176"/>
      <c r="D15" s="176"/>
      <c r="E15" s="175">
        <v>30000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5">
        <v>40000</v>
      </c>
      <c r="P15" s="176"/>
    </row>
    <row r="16" spans="1:23" x14ac:dyDescent="0.2">
      <c r="A16" s="182" t="s">
        <v>291</v>
      </c>
      <c r="B16" s="183" t="s">
        <v>290</v>
      </c>
      <c r="C16" s="176"/>
      <c r="D16" s="176"/>
      <c r="E16" s="176"/>
      <c r="F16" s="176"/>
      <c r="G16" s="184"/>
      <c r="H16" s="176"/>
      <c r="I16" s="176"/>
      <c r="J16" s="176"/>
      <c r="K16" s="176"/>
      <c r="L16" s="175">
        <v>50000</v>
      </c>
      <c r="M16" s="176"/>
      <c r="N16" s="176"/>
      <c r="O16" s="176"/>
      <c r="P16" s="176"/>
      <c r="Q16" s="176"/>
      <c r="R16" s="176"/>
      <c r="S16" s="176"/>
      <c r="T16" s="176"/>
      <c r="U16" s="176"/>
      <c r="V16" s="175">
        <v>60000</v>
      </c>
      <c r="W16" s="176"/>
    </row>
    <row r="17" spans="1:23" x14ac:dyDescent="0.2">
      <c r="A17" s="182" t="s">
        <v>39</v>
      </c>
      <c r="B17" s="183" t="s">
        <v>288</v>
      </c>
      <c r="C17" s="176"/>
      <c r="D17" s="176"/>
      <c r="E17" s="176"/>
      <c r="F17" s="176"/>
      <c r="G17" s="175">
        <v>25000</v>
      </c>
      <c r="H17" s="176"/>
      <c r="I17" s="176"/>
      <c r="J17" s="176"/>
      <c r="K17" s="176"/>
      <c r="L17" s="184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</row>
    <row r="18" spans="1:23" x14ac:dyDescent="0.2">
      <c r="A18" s="182" t="s">
        <v>292</v>
      </c>
      <c r="B18" s="183"/>
      <c r="C18" s="176"/>
      <c r="D18" s="176"/>
      <c r="E18" s="176"/>
      <c r="F18" s="176"/>
      <c r="G18" s="176"/>
      <c r="H18" s="176"/>
      <c r="I18" s="176"/>
      <c r="J18" s="176"/>
      <c r="K18" s="176"/>
      <c r="L18" s="184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</row>
    <row r="19" spans="1:23" ht="16" x14ac:dyDescent="0.2">
      <c r="A19" s="180" t="s">
        <v>293</v>
      </c>
      <c r="B19" s="181"/>
      <c r="C19" s="179">
        <f>SUM(C13:C18)</f>
        <v>75000</v>
      </c>
      <c r="D19" s="179">
        <f t="shared" ref="D19:W19" si="4">SUM(D13:D18)</f>
        <v>0</v>
      </c>
      <c r="E19" s="179">
        <f t="shared" si="4"/>
        <v>30000</v>
      </c>
      <c r="F19" s="179">
        <f t="shared" si="4"/>
        <v>0</v>
      </c>
      <c r="G19" s="179">
        <f t="shared" si="4"/>
        <v>25000</v>
      </c>
      <c r="H19" s="179">
        <f t="shared" si="4"/>
        <v>0</v>
      </c>
      <c r="I19" s="179">
        <f t="shared" si="4"/>
        <v>0</v>
      </c>
      <c r="J19" s="179">
        <f t="shared" si="4"/>
        <v>300000</v>
      </c>
      <c r="K19" s="179">
        <f t="shared" si="4"/>
        <v>0</v>
      </c>
      <c r="L19" s="179">
        <f t="shared" si="4"/>
        <v>50000</v>
      </c>
      <c r="M19" s="179">
        <f t="shared" si="4"/>
        <v>0</v>
      </c>
      <c r="N19" s="179">
        <f t="shared" si="4"/>
        <v>0</v>
      </c>
      <c r="O19" s="179">
        <f t="shared" si="4"/>
        <v>40000</v>
      </c>
      <c r="P19" s="179">
        <f t="shared" si="4"/>
        <v>0</v>
      </c>
      <c r="Q19" s="179">
        <f t="shared" si="4"/>
        <v>0</v>
      </c>
      <c r="R19" s="179">
        <f t="shared" si="4"/>
        <v>0</v>
      </c>
      <c r="S19" s="179">
        <f t="shared" si="4"/>
        <v>0</v>
      </c>
      <c r="T19" s="179">
        <f t="shared" si="4"/>
        <v>0</v>
      </c>
      <c r="U19" s="179">
        <f t="shared" si="4"/>
        <v>0</v>
      </c>
      <c r="V19" s="179">
        <f t="shared" si="4"/>
        <v>60000</v>
      </c>
      <c r="W19" s="179">
        <f t="shared" si="4"/>
        <v>100000</v>
      </c>
    </row>
    <row r="20" spans="1:23" x14ac:dyDescent="0.2">
      <c r="A20" s="182"/>
      <c r="B20" s="183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</row>
    <row r="21" spans="1:23" x14ac:dyDescent="0.2">
      <c r="A21" s="182"/>
      <c r="B21" s="183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</row>
    <row r="22" spans="1:23" x14ac:dyDescent="0.2">
      <c r="A22" s="182" t="s">
        <v>294</v>
      </c>
      <c r="B22" s="183"/>
      <c r="C22" s="175">
        <v>2200</v>
      </c>
      <c r="D22" s="176">
        <f>C22*(1+D23)</f>
        <v>2200</v>
      </c>
      <c r="E22" s="176">
        <f t="shared" ref="E22:W22" si="5">D22*(1+E23)</f>
        <v>2200</v>
      </c>
      <c r="F22" s="176">
        <f t="shared" si="5"/>
        <v>2200</v>
      </c>
      <c r="G22" s="176">
        <f t="shared" si="5"/>
        <v>2200</v>
      </c>
      <c r="H22" s="176">
        <f t="shared" si="5"/>
        <v>2200</v>
      </c>
      <c r="I22" s="176">
        <f t="shared" si="5"/>
        <v>2200</v>
      </c>
      <c r="J22" s="176">
        <f t="shared" si="5"/>
        <v>2200</v>
      </c>
      <c r="K22" s="176">
        <f t="shared" si="5"/>
        <v>2200</v>
      </c>
      <c r="L22" s="176">
        <f t="shared" si="5"/>
        <v>2200</v>
      </c>
      <c r="M22" s="176">
        <f t="shared" si="5"/>
        <v>2200</v>
      </c>
      <c r="N22" s="176">
        <f t="shared" si="5"/>
        <v>2200</v>
      </c>
      <c r="O22" s="176">
        <f t="shared" si="5"/>
        <v>2200</v>
      </c>
      <c r="P22" s="176">
        <f t="shared" si="5"/>
        <v>2200</v>
      </c>
      <c r="Q22" s="176">
        <f t="shared" si="5"/>
        <v>2200</v>
      </c>
      <c r="R22" s="176">
        <f t="shared" si="5"/>
        <v>2200</v>
      </c>
      <c r="S22" s="176">
        <f t="shared" si="5"/>
        <v>2200</v>
      </c>
      <c r="T22" s="176">
        <f t="shared" si="5"/>
        <v>2200</v>
      </c>
      <c r="U22" s="176">
        <f t="shared" si="5"/>
        <v>2200</v>
      </c>
      <c r="V22" s="176">
        <f t="shared" si="5"/>
        <v>2200</v>
      </c>
      <c r="W22" s="176">
        <f t="shared" si="5"/>
        <v>2200</v>
      </c>
    </row>
    <row r="23" spans="1:23" x14ac:dyDescent="0.2">
      <c r="A23" s="173" t="s">
        <v>295</v>
      </c>
      <c r="B23" s="174"/>
      <c r="C23" s="185">
        <v>0</v>
      </c>
      <c r="D23" s="186">
        <f>C23</f>
        <v>0</v>
      </c>
      <c r="E23" s="186">
        <f t="shared" ref="E23:W23" si="6">D23</f>
        <v>0</v>
      </c>
      <c r="F23" s="186">
        <f t="shared" si="6"/>
        <v>0</v>
      </c>
      <c r="G23" s="186">
        <f t="shared" si="6"/>
        <v>0</v>
      </c>
      <c r="H23" s="186">
        <f t="shared" si="6"/>
        <v>0</v>
      </c>
      <c r="I23" s="186">
        <f t="shared" si="6"/>
        <v>0</v>
      </c>
      <c r="J23" s="186">
        <f t="shared" si="6"/>
        <v>0</v>
      </c>
      <c r="K23" s="186">
        <f t="shared" si="6"/>
        <v>0</v>
      </c>
      <c r="L23" s="186">
        <f t="shared" si="6"/>
        <v>0</v>
      </c>
      <c r="M23" s="186">
        <f t="shared" si="6"/>
        <v>0</v>
      </c>
      <c r="N23" s="186">
        <f t="shared" si="6"/>
        <v>0</v>
      </c>
      <c r="O23" s="186">
        <f t="shared" si="6"/>
        <v>0</v>
      </c>
      <c r="P23" s="186">
        <f t="shared" si="6"/>
        <v>0</v>
      </c>
      <c r="Q23" s="186">
        <f t="shared" si="6"/>
        <v>0</v>
      </c>
      <c r="R23" s="186">
        <f t="shared" si="6"/>
        <v>0</v>
      </c>
      <c r="S23" s="186">
        <f t="shared" si="6"/>
        <v>0</v>
      </c>
      <c r="T23" s="186">
        <f t="shared" si="6"/>
        <v>0</v>
      </c>
      <c r="U23" s="186">
        <f t="shared" si="6"/>
        <v>0</v>
      </c>
      <c r="V23" s="186">
        <f t="shared" si="6"/>
        <v>0</v>
      </c>
      <c r="W23" s="186">
        <f t="shared" si="6"/>
        <v>0</v>
      </c>
    </row>
    <row r="24" spans="1:23" x14ac:dyDescent="0.2">
      <c r="A24" s="173" t="s">
        <v>296</v>
      </c>
      <c r="B24" s="187"/>
      <c r="C24" s="188">
        <v>24</v>
      </c>
      <c r="D24" s="189">
        <v>24</v>
      </c>
      <c r="E24" s="189">
        <v>24</v>
      </c>
      <c r="F24" s="189">
        <v>24</v>
      </c>
      <c r="G24" s="189">
        <v>24</v>
      </c>
      <c r="H24" s="189">
        <v>24</v>
      </c>
      <c r="I24" s="189">
        <v>24</v>
      </c>
      <c r="J24" s="189">
        <v>24</v>
      </c>
      <c r="K24" s="189">
        <v>24</v>
      </c>
      <c r="L24" s="189">
        <v>24</v>
      </c>
      <c r="M24" s="189">
        <v>24</v>
      </c>
      <c r="N24" s="189">
        <v>24</v>
      </c>
      <c r="O24" s="189">
        <v>24</v>
      </c>
      <c r="P24" s="189">
        <v>24</v>
      </c>
      <c r="Q24" s="189">
        <v>24</v>
      </c>
      <c r="R24" s="189">
        <v>24</v>
      </c>
      <c r="S24" s="189">
        <v>24</v>
      </c>
      <c r="T24" s="189">
        <v>24</v>
      </c>
      <c r="U24" s="189">
        <v>24</v>
      </c>
      <c r="V24" s="189">
        <v>24</v>
      </c>
      <c r="W24" s="189">
        <v>24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75"/>
  <sheetViews>
    <sheetView topLeftCell="A25" zoomScale="96" zoomScaleNormal="96" workbookViewId="0">
      <selection activeCell="E34" sqref="E34"/>
    </sheetView>
  </sheetViews>
  <sheetFormatPr baseColWidth="10" defaultColWidth="9.1640625" defaultRowHeight="13" x14ac:dyDescent="0.15"/>
  <cols>
    <col min="1" max="1" width="3.6640625" style="30" customWidth="1"/>
    <col min="2" max="2" width="2.83203125" style="30" customWidth="1"/>
    <col min="3" max="3" width="9.1640625" style="30"/>
    <col min="4" max="4" width="26.5" style="30" customWidth="1"/>
    <col min="5" max="5" width="20.5" style="31" customWidth="1"/>
    <col min="6" max="6" width="3" style="31" customWidth="1"/>
    <col min="7" max="10" width="13.83203125" style="31" customWidth="1"/>
    <col min="11" max="11" width="16.33203125" style="31" customWidth="1"/>
    <col min="12" max="13" width="13.83203125" style="31" customWidth="1"/>
    <col min="14" max="14" width="18.33203125" style="31" customWidth="1"/>
    <col min="15" max="15" width="13.83203125" style="31" customWidth="1"/>
    <col min="16" max="16" width="16" style="30" customWidth="1"/>
    <col min="17" max="19" width="13.83203125" style="30" customWidth="1"/>
    <col min="20" max="27" width="13.83203125" style="30" hidden="1" customWidth="1"/>
    <col min="28" max="28" width="13.83203125" style="30" customWidth="1"/>
    <col min="29" max="16384" width="9.1640625" style="30"/>
  </cols>
  <sheetData>
    <row r="1" spans="1:28" s="28" customFormat="1" x14ac:dyDescent="0.15">
      <c r="A1" s="246" t="s">
        <v>68</v>
      </c>
      <c r="B1" s="246"/>
      <c r="C1" s="246"/>
      <c r="D1" s="246"/>
      <c r="E1" s="246"/>
      <c r="F1" s="228"/>
      <c r="G1" s="94"/>
      <c r="H1" s="94"/>
      <c r="I1" s="94"/>
      <c r="J1" s="94"/>
      <c r="K1" s="94"/>
      <c r="L1" s="94"/>
      <c r="M1" s="94"/>
      <c r="N1" s="94"/>
      <c r="O1" s="94"/>
    </row>
    <row r="2" spans="1:28" s="28" customFormat="1" x14ac:dyDescent="0.15">
      <c r="A2" s="247" t="s">
        <v>297</v>
      </c>
      <c r="B2" s="247"/>
      <c r="C2" s="247"/>
      <c r="D2" s="247"/>
      <c r="E2" s="247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28" s="28" customFormat="1" x14ac:dyDescent="0.15">
      <c r="A3" s="247" t="str">
        <f>+'Income Statement'!A4:H4</f>
        <v>FOR THE  FISCAL YEAR ENDING JULY 31, 2023</v>
      </c>
      <c r="B3" s="247"/>
      <c r="C3" s="247"/>
      <c r="D3" s="247"/>
      <c r="E3" s="247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8" ht="18" x14ac:dyDescent="0.2">
      <c r="M4" s="245" t="s">
        <v>298</v>
      </c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</row>
    <row r="5" spans="1:28" x14ac:dyDescent="0.15"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7"/>
      <c r="AB5" s="45" t="s">
        <v>173</v>
      </c>
    </row>
    <row r="6" spans="1:28" x14ac:dyDescent="0.15">
      <c r="E6" s="33"/>
      <c r="F6" s="33"/>
      <c r="G6" s="95"/>
      <c r="H6" s="95"/>
      <c r="I6" s="95"/>
      <c r="J6" s="95"/>
      <c r="K6" s="95"/>
      <c r="L6" s="95"/>
      <c r="M6" s="95"/>
      <c r="N6" s="95"/>
      <c r="O6" s="95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45" t="s">
        <v>299</v>
      </c>
    </row>
    <row r="7" spans="1:28" x14ac:dyDescent="0.15">
      <c r="E7" s="55" t="s">
        <v>300</v>
      </c>
      <c r="F7" s="34"/>
      <c r="G7" s="48">
        <v>41759</v>
      </c>
      <c r="H7" s="48">
        <v>41670</v>
      </c>
      <c r="I7" s="48">
        <v>41639</v>
      </c>
      <c r="J7" s="48">
        <v>41608</v>
      </c>
      <c r="K7" s="48">
        <v>41578</v>
      </c>
      <c r="L7" s="48">
        <v>41547</v>
      </c>
      <c r="M7" s="48">
        <v>41517</v>
      </c>
      <c r="N7" s="48">
        <v>41486</v>
      </c>
      <c r="O7" s="48">
        <v>41455</v>
      </c>
      <c r="P7" s="48">
        <v>41395</v>
      </c>
      <c r="Q7" s="48">
        <v>41394</v>
      </c>
      <c r="R7" s="48">
        <v>41364</v>
      </c>
      <c r="S7" s="48">
        <v>41333</v>
      </c>
      <c r="T7" s="45">
        <v>41275</v>
      </c>
      <c r="U7" s="45">
        <v>41274</v>
      </c>
      <c r="V7" s="45">
        <v>41243</v>
      </c>
      <c r="W7" s="45">
        <v>41213</v>
      </c>
      <c r="X7" s="45">
        <v>41182</v>
      </c>
      <c r="Y7" s="45">
        <v>41152</v>
      </c>
      <c r="Z7" s="45">
        <v>41121</v>
      </c>
      <c r="AA7" s="45">
        <v>41090</v>
      </c>
      <c r="AB7" s="45" t="s">
        <v>301</v>
      </c>
    </row>
    <row r="8" spans="1:28" x14ac:dyDescent="0.15">
      <c r="A8" s="28" t="s">
        <v>302</v>
      </c>
      <c r="E8" s="50">
        <v>6407.6</v>
      </c>
      <c r="F8" s="34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8" x14ac:dyDescent="0.15">
      <c r="A9" s="28"/>
      <c r="E9" s="59"/>
      <c r="F9" s="34"/>
    </row>
    <row r="10" spans="1:28" x14ac:dyDescent="0.15">
      <c r="A10" s="28" t="s">
        <v>303</v>
      </c>
      <c r="E10" s="59"/>
      <c r="F10" s="34"/>
    </row>
    <row r="11" spans="1:28" x14ac:dyDescent="0.15">
      <c r="A11" s="30" t="s">
        <v>304</v>
      </c>
      <c r="E11" s="60">
        <f>SUM(F11:S11)</f>
        <v>1232000</v>
      </c>
      <c r="F11" s="34"/>
      <c r="J11" s="30"/>
      <c r="M11" s="49"/>
      <c r="N11" s="49"/>
      <c r="O11" s="47"/>
      <c r="P11" s="30">
        <v>1232000</v>
      </c>
    </row>
    <row r="12" spans="1:28" x14ac:dyDescent="0.15">
      <c r="A12" s="30" t="s">
        <v>305</v>
      </c>
      <c r="E12" s="60">
        <f>SUM(F12:S12)</f>
        <v>1100000</v>
      </c>
      <c r="F12" s="34"/>
      <c r="N12" s="30">
        <v>1100000</v>
      </c>
    </row>
    <row r="13" spans="1:28" x14ac:dyDescent="0.15">
      <c r="A13" s="30" t="s">
        <v>306</v>
      </c>
      <c r="E13" s="60">
        <f>SUM(F13:S13)</f>
        <v>-79770.37</v>
      </c>
      <c r="F13" s="34"/>
      <c r="H13" s="31">
        <v>-79770.37</v>
      </c>
      <c r="K13" s="49"/>
      <c r="L13" s="49"/>
      <c r="M13" s="49"/>
      <c r="N13" s="49"/>
      <c r="O13" s="49"/>
      <c r="P13" s="47"/>
      <c r="Q13" s="47"/>
      <c r="R13" s="47"/>
    </row>
    <row r="14" spans="1:28" x14ac:dyDescent="0.15">
      <c r="A14" s="30" t="s">
        <v>307</v>
      </c>
      <c r="E14" s="60">
        <f>SUM(F14:AA14)</f>
        <v>10.46</v>
      </c>
      <c r="F14" s="34"/>
      <c r="K14" s="49">
        <v>3.98</v>
      </c>
      <c r="L14" s="49"/>
      <c r="M14" s="49">
        <v>0.86</v>
      </c>
      <c r="N14" s="49">
        <v>5.62</v>
      </c>
      <c r="O14" s="49"/>
      <c r="P14" s="47"/>
      <c r="Q14" s="47"/>
      <c r="R14" s="47"/>
    </row>
    <row r="15" spans="1:28" x14ac:dyDescent="0.15">
      <c r="A15" s="30" t="s">
        <v>308</v>
      </c>
      <c r="E15" s="60">
        <f>SUM(F15:AA15)</f>
        <v>1100000</v>
      </c>
      <c r="F15" s="34"/>
      <c r="K15" s="49">
        <f>25000*44</f>
        <v>1100000</v>
      </c>
    </row>
    <row r="16" spans="1:28" x14ac:dyDescent="0.15">
      <c r="A16" s="30" t="s">
        <v>309</v>
      </c>
      <c r="E16" s="39">
        <f>SUM(F16:AA16)</f>
        <v>0</v>
      </c>
      <c r="F16" s="34"/>
      <c r="G16" s="96"/>
      <c r="H16" s="96"/>
      <c r="I16" s="96">
        <v>-750</v>
      </c>
      <c r="J16" s="96"/>
      <c r="K16" s="96">
        <v>750</v>
      </c>
      <c r="L16" s="96"/>
      <c r="M16" s="96"/>
      <c r="N16" s="96"/>
      <c r="O16" s="96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9" x14ac:dyDescent="0.15">
      <c r="B17" s="28" t="s">
        <v>310</v>
      </c>
      <c r="E17" s="50">
        <f>SUM(E11:E16)</f>
        <v>3352240.09</v>
      </c>
      <c r="F17" s="34"/>
      <c r="G17" s="31">
        <f>SUM(G10:G16)</f>
        <v>0</v>
      </c>
      <c r="H17" s="31">
        <f>SUM(H10:H16)</f>
        <v>-79770.37</v>
      </c>
      <c r="I17" s="98">
        <f>SUM(I11:I16)</f>
        <v>-750</v>
      </c>
      <c r="J17" s="98">
        <f>SUM(J11:J16)</f>
        <v>0</v>
      </c>
      <c r="K17" s="98">
        <f t="shared" ref="K17:AB17" si="0">SUM(K11:K16)</f>
        <v>1100753.98</v>
      </c>
      <c r="L17" s="98">
        <f t="shared" si="0"/>
        <v>0</v>
      </c>
      <c r="M17" s="98">
        <f t="shared" si="0"/>
        <v>0.86</v>
      </c>
      <c r="N17" s="98">
        <f t="shared" si="0"/>
        <v>1100005.6200000001</v>
      </c>
      <c r="O17" s="98">
        <f t="shared" si="0"/>
        <v>0</v>
      </c>
      <c r="P17" s="98">
        <f t="shared" si="0"/>
        <v>1232000</v>
      </c>
      <c r="Q17" s="98">
        <f t="shared" si="0"/>
        <v>0</v>
      </c>
      <c r="R17" s="98">
        <f t="shared" si="0"/>
        <v>0</v>
      </c>
      <c r="S17" s="98">
        <f t="shared" si="0"/>
        <v>0</v>
      </c>
      <c r="T17" s="98">
        <f t="shared" si="0"/>
        <v>0</v>
      </c>
      <c r="U17" s="98">
        <f t="shared" si="0"/>
        <v>0</v>
      </c>
      <c r="V17" s="98">
        <f t="shared" si="0"/>
        <v>0</v>
      </c>
      <c r="W17" s="98">
        <f t="shared" si="0"/>
        <v>0</v>
      </c>
      <c r="X17" s="98">
        <f t="shared" si="0"/>
        <v>0</v>
      </c>
      <c r="Y17" s="98">
        <f t="shared" si="0"/>
        <v>0</v>
      </c>
      <c r="Z17" s="98">
        <f t="shared" si="0"/>
        <v>0</v>
      </c>
      <c r="AA17" s="98">
        <f t="shared" si="0"/>
        <v>0</v>
      </c>
      <c r="AB17" s="98">
        <f t="shared" si="0"/>
        <v>0</v>
      </c>
    </row>
    <row r="18" spans="1:29" x14ac:dyDescent="0.15">
      <c r="E18" s="60"/>
      <c r="F18" s="34"/>
      <c r="I18" s="49"/>
      <c r="J18" s="49"/>
      <c r="K18" s="49"/>
      <c r="L18" s="49"/>
      <c r="M18" s="49"/>
      <c r="N18" s="49"/>
      <c r="O18" s="49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x14ac:dyDescent="0.15">
      <c r="E19" s="60"/>
      <c r="F19" s="34"/>
      <c r="I19" s="49"/>
      <c r="J19" s="49"/>
      <c r="K19" s="49"/>
      <c r="L19" s="49"/>
      <c r="M19" s="49"/>
      <c r="N19" s="49"/>
      <c r="O19" s="49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x14ac:dyDescent="0.15">
      <c r="A20" s="28" t="s">
        <v>311</v>
      </c>
      <c r="E20" s="58">
        <f>SUM(F20:AA20)</f>
        <v>-6179</v>
      </c>
      <c r="F20" s="34"/>
      <c r="I20" s="49">
        <v>750</v>
      </c>
      <c r="J20" s="49"/>
      <c r="K20" s="49">
        <v>-6929</v>
      </c>
      <c r="L20" s="49"/>
      <c r="M20" s="49"/>
      <c r="N20" s="49"/>
      <c r="O20" s="49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x14ac:dyDescent="0.15">
      <c r="E21" s="60"/>
      <c r="F21" s="34"/>
      <c r="I21" s="49"/>
      <c r="J21" s="49"/>
      <c r="K21" s="49"/>
      <c r="L21" s="49"/>
      <c r="M21" s="49"/>
      <c r="N21" s="49"/>
      <c r="O21" s="49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x14ac:dyDescent="0.15">
      <c r="A22" s="28" t="s">
        <v>312</v>
      </c>
      <c r="E22" s="37"/>
      <c r="F22" s="37"/>
      <c r="G22" s="99"/>
      <c r="H22" s="99"/>
      <c r="I22" s="99"/>
      <c r="J22" s="99"/>
      <c r="K22" s="99"/>
      <c r="L22" s="99"/>
      <c r="M22" s="99"/>
      <c r="N22" s="99"/>
      <c r="O22" s="99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x14ac:dyDescent="0.15">
      <c r="A23" s="28"/>
      <c r="B23" s="28" t="s">
        <v>37</v>
      </c>
      <c r="E23" s="38"/>
      <c r="F23" s="38"/>
      <c r="G23" s="99"/>
      <c r="H23" s="99"/>
      <c r="I23" s="99"/>
      <c r="J23" s="99"/>
      <c r="K23" s="99"/>
      <c r="L23" s="99"/>
      <c r="M23" s="99"/>
      <c r="N23" s="99"/>
      <c r="O23" s="99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x14ac:dyDescent="0.15">
      <c r="A24" s="28"/>
      <c r="C24" s="30" t="s">
        <v>313</v>
      </c>
      <c r="E24" s="60">
        <f>SUM(F24:AA24)</f>
        <v>1500</v>
      </c>
      <c r="F24" s="38"/>
      <c r="G24" s="99"/>
      <c r="H24" s="99"/>
      <c r="I24" s="99"/>
      <c r="J24" s="99"/>
      <c r="K24" s="99"/>
      <c r="L24" s="99"/>
      <c r="M24" s="99"/>
      <c r="N24" s="99">
        <v>500</v>
      </c>
      <c r="O24" s="99">
        <v>500</v>
      </c>
      <c r="P24" s="47">
        <v>500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15">
      <c r="A25" s="28"/>
      <c r="C25" s="30" t="s">
        <v>314</v>
      </c>
      <c r="E25" s="39">
        <f>SUM(F25:AA25)</f>
        <v>2600</v>
      </c>
      <c r="F25" s="38"/>
      <c r="G25" s="99"/>
      <c r="H25" s="99"/>
      <c r="I25" s="99">
        <v>520</v>
      </c>
      <c r="J25" s="99">
        <v>520</v>
      </c>
      <c r="K25" s="99">
        <v>520</v>
      </c>
      <c r="L25" s="99">
        <v>520</v>
      </c>
      <c r="M25" s="99">
        <v>520</v>
      </c>
      <c r="N25" s="99"/>
      <c r="O25" s="99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15">
      <c r="A26" s="28"/>
      <c r="C26" s="28" t="s">
        <v>315</v>
      </c>
      <c r="D26" s="28"/>
      <c r="E26" s="38">
        <f>SUM(E24:E25)</f>
        <v>4100</v>
      </c>
      <c r="F26" s="38"/>
      <c r="G26" s="99"/>
      <c r="H26" s="99"/>
      <c r="I26" s="99"/>
      <c r="J26" s="99"/>
      <c r="K26" s="99"/>
      <c r="L26" s="99"/>
      <c r="M26" s="99"/>
      <c r="N26" s="99"/>
      <c r="O26" s="99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15">
      <c r="A27" s="28"/>
      <c r="B27" s="28" t="s">
        <v>316</v>
      </c>
      <c r="E27" s="38">
        <f>SUM(F27:AA27)</f>
        <v>0</v>
      </c>
      <c r="F27" s="38"/>
      <c r="G27" s="99"/>
      <c r="H27" s="99"/>
      <c r="I27" s="99"/>
      <c r="J27" s="99"/>
      <c r="K27" s="99"/>
      <c r="L27" s="99"/>
      <c r="M27" s="99"/>
      <c r="N27" s="99"/>
      <c r="O27" s="99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15">
      <c r="A28" s="28"/>
      <c r="C28" s="30" t="s">
        <v>317</v>
      </c>
      <c r="E28" s="60">
        <f>SUM(F28:AB28)</f>
        <v>210578.31999999995</v>
      </c>
      <c r="F28" s="38"/>
      <c r="G28" s="99"/>
      <c r="H28" s="99"/>
      <c r="I28" s="99"/>
      <c r="J28" s="99">
        <v>2075</v>
      </c>
      <c r="K28" s="99"/>
      <c r="L28" s="99">
        <f>5941.08</f>
        <v>5941.08</v>
      </c>
      <c r="M28" s="99"/>
      <c r="N28" s="99">
        <v>16900.900000000001</v>
      </c>
      <c r="O28" s="99">
        <v>22135.8</v>
      </c>
      <c r="P28" s="47">
        <v>25895.9</v>
      </c>
      <c r="Q28" s="47">
        <f>32705.46</f>
        <v>32705.46</v>
      </c>
      <c r="R28" s="47">
        <v>42268.7</v>
      </c>
      <c r="S28" s="47">
        <v>37256.800000000003</v>
      </c>
      <c r="T28" s="47"/>
      <c r="U28" s="47"/>
      <c r="V28" s="47"/>
      <c r="W28" s="47"/>
      <c r="X28" s="47"/>
      <c r="Y28" s="47"/>
      <c r="Z28" s="47"/>
      <c r="AA28" s="47"/>
      <c r="AB28" s="47">
        <v>25398.68</v>
      </c>
      <c r="AC28" s="47"/>
    </row>
    <row r="29" spans="1:29" x14ac:dyDescent="0.15">
      <c r="A29" s="28"/>
      <c r="E29" s="60">
        <f t="shared" ref="E29:E38" si="1">SUM(F29:AA29)</f>
        <v>32390.559999999998</v>
      </c>
      <c r="F29" s="38"/>
      <c r="G29" s="99"/>
      <c r="H29" s="99"/>
      <c r="I29" s="99"/>
      <c r="J29" s="99"/>
      <c r="K29" s="99"/>
      <c r="L29" s="99">
        <v>5358.87</v>
      </c>
      <c r="M29" s="99"/>
      <c r="N29" s="99"/>
      <c r="O29" s="99"/>
      <c r="P29" s="47"/>
      <c r="Q29" s="47">
        <v>27031.69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15">
      <c r="A30" s="28"/>
      <c r="B30" s="28" t="s">
        <v>318</v>
      </c>
      <c r="E30" s="38">
        <f t="shared" si="1"/>
        <v>0</v>
      </c>
      <c r="F30" s="38"/>
      <c r="G30" s="99"/>
      <c r="H30" s="99"/>
      <c r="I30" s="99"/>
      <c r="J30" s="99"/>
      <c r="K30" s="99"/>
      <c r="L30" s="99"/>
      <c r="M30" s="99"/>
      <c r="N30" s="99"/>
      <c r="O30" s="99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15">
      <c r="A31" s="28"/>
      <c r="C31" s="30" t="s">
        <v>319</v>
      </c>
      <c r="E31" s="38">
        <f t="shared" si="1"/>
        <v>2494603.0700000003</v>
      </c>
      <c r="F31" s="38"/>
      <c r="G31" s="99">
        <v>6000</v>
      </c>
      <c r="H31" s="99"/>
      <c r="I31" s="99"/>
      <c r="J31" s="99">
        <v>664013.66</v>
      </c>
      <c r="K31" s="99"/>
      <c r="L31" s="99">
        <v>562583.17000000004</v>
      </c>
      <c r="M31" s="99">
        <f>608405.75+217</f>
        <v>608622.75</v>
      </c>
      <c r="N31" s="99">
        <v>337132.6</v>
      </c>
      <c r="O31" s="99">
        <v>316250.89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15">
      <c r="A32" s="28"/>
      <c r="B32" s="28" t="s">
        <v>196</v>
      </c>
      <c r="E32" s="38">
        <f t="shared" si="1"/>
        <v>0</v>
      </c>
      <c r="F32" s="38"/>
      <c r="G32" s="99"/>
      <c r="H32" s="99"/>
      <c r="I32" s="99"/>
      <c r="J32" s="99"/>
      <c r="K32" s="99"/>
      <c r="L32" s="99"/>
      <c r="M32" s="99"/>
      <c r="N32" s="99"/>
      <c r="O32" s="99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x14ac:dyDescent="0.15">
      <c r="A33" s="28"/>
      <c r="B33" s="28"/>
      <c r="C33" s="30" t="s">
        <v>320</v>
      </c>
      <c r="E33" s="38">
        <f t="shared" si="1"/>
        <v>4225.96</v>
      </c>
      <c r="F33" s="38"/>
      <c r="G33" s="99"/>
      <c r="H33" s="99"/>
      <c r="I33" s="99"/>
      <c r="J33" s="99">
        <v>-1952.91</v>
      </c>
      <c r="K33" s="99">
        <f>1204.73-50.36</f>
        <v>1154.3700000000001</v>
      </c>
      <c r="L33" s="99">
        <v>1165</v>
      </c>
      <c r="M33" s="99">
        <v>427.5</v>
      </c>
      <c r="N33" s="99"/>
      <c r="O33" s="99"/>
      <c r="P33" s="47">
        <f>3432</f>
        <v>3432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x14ac:dyDescent="0.15">
      <c r="A34" s="28"/>
      <c r="B34" s="28"/>
      <c r="E34" s="38">
        <f t="shared" si="1"/>
        <v>5742.5</v>
      </c>
      <c r="F34" s="38"/>
      <c r="G34" s="99"/>
      <c r="H34" s="99"/>
      <c r="I34" s="99"/>
      <c r="J34" s="99"/>
      <c r="K34" s="99"/>
      <c r="L34" s="99"/>
      <c r="M34" s="99"/>
      <c r="N34" s="99"/>
      <c r="O34" s="99"/>
      <c r="P34" s="47">
        <v>5742.5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x14ac:dyDescent="0.15">
      <c r="A35" s="28"/>
      <c r="B35" s="28" t="s">
        <v>321</v>
      </c>
      <c r="E35" s="38">
        <f t="shared" si="1"/>
        <v>0</v>
      </c>
      <c r="F35" s="38"/>
      <c r="G35" s="99"/>
      <c r="H35" s="99"/>
      <c r="I35" s="99"/>
      <c r="J35" s="99"/>
      <c r="K35" s="99"/>
      <c r="L35" s="99"/>
      <c r="M35" s="99"/>
      <c r="N35" s="99"/>
      <c r="O35" s="99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x14ac:dyDescent="0.15">
      <c r="A36" s="28"/>
      <c r="B36" s="28"/>
      <c r="C36" s="30" t="s">
        <v>322</v>
      </c>
      <c r="E36" s="38">
        <f t="shared" si="1"/>
        <v>993.4</v>
      </c>
      <c r="F36" s="38"/>
      <c r="G36" s="99"/>
      <c r="H36" s="99"/>
      <c r="I36" s="99"/>
      <c r="J36" s="99">
        <f>982.5+10.9</f>
        <v>993.4</v>
      </c>
      <c r="K36" s="99"/>
      <c r="L36" s="99"/>
      <c r="M36" s="99"/>
      <c r="N36" s="99"/>
      <c r="O36" s="99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x14ac:dyDescent="0.15">
      <c r="A37" s="28"/>
      <c r="B37" s="28"/>
      <c r="C37" s="30" t="s">
        <v>323</v>
      </c>
      <c r="E37" s="38">
        <f t="shared" si="1"/>
        <v>375</v>
      </c>
      <c r="F37" s="38"/>
      <c r="G37" s="99"/>
      <c r="H37" s="99"/>
      <c r="I37" s="99"/>
      <c r="J37" s="99">
        <v>375</v>
      </c>
      <c r="K37" s="99"/>
      <c r="L37" s="99"/>
      <c r="M37" s="99"/>
      <c r="N37" s="99"/>
      <c r="O37" s="99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x14ac:dyDescent="0.15">
      <c r="A38" s="28"/>
      <c r="C38" s="30" t="s">
        <v>324</v>
      </c>
      <c r="E38" s="38">
        <f t="shared" si="1"/>
        <v>758.71</v>
      </c>
      <c r="F38" s="30"/>
      <c r="G38" s="30"/>
      <c r="H38" s="30"/>
      <c r="I38" s="47"/>
      <c r="J38" s="47"/>
      <c r="K38" s="47"/>
      <c r="L38" s="47"/>
      <c r="M38" s="47">
        <v>758.71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x14ac:dyDescent="0.15">
      <c r="A39" s="28"/>
      <c r="C39" s="30" t="s">
        <v>325</v>
      </c>
      <c r="E39" s="38">
        <f>SUM(F39:AB39)</f>
        <v>357</v>
      </c>
      <c r="F39" s="30"/>
      <c r="G39" s="30"/>
      <c r="H39" s="30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>
        <v>57</v>
      </c>
      <c r="T39" s="47"/>
      <c r="U39" s="47"/>
      <c r="V39" s="47"/>
      <c r="W39" s="47"/>
      <c r="X39" s="47"/>
      <c r="Y39" s="47"/>
      <c r="Z39" s="47"/>
      <c r="AA39" s="47"/>
      <c r="AB39" s="47">
        <v>300</v>
      </c>
      <c r="AC39" s="47"/>
    </row>
    <row r="40" spans="1:29" x14ac:dyDescent="0.15">
      <c r="A40" s="28"/>
      <c r="C40" s="30" t="s">
        <v>326</v>
      </c>
      <c r="E40" s="39">
        <f>SUM(F40:AA40)</f>
        <v>113.58</v>
      </c>
      <c r="F40" s="30"/>
      <c r="G40" s="30"/>
      <c r="H40" s="30"/>
      <c r="I40" s="47"/>
      <c r="J40" s="47"/>
      <c r="K40" s="47"/>
      <c r="L40" s="47"/>
      <c r="M40" s="47"/>
      <c r="N40" s="47">
        <v>113.58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15">
      <c r="A41" s="28"/>
      <c r="C41" s="28" t="s">
        <v>327</v>
      </c>
      <c r="E41" s="38">
        <f>SUM(E36:E40)</f>
        <v>2597.69</v>
      </c>
      <c r="F41" s="36"/>
      <c r="G41" s="30"/>
      <c r="H41" s="30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x14ac:dyDescent="0.15">
      <c r="A42" s="28"/>
      <c r="C42" s="28"/>
      <c r="E42" s="38"/>
      <c r="F42" s="36"/>
      <c r="G42" s="30"/>
      <c r="H42" s="30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15">
      <c r="A43" s="28"/>
      <c r="B43" s="28" t="s">
        <v>328</v>
      </c>
      <c r="E43" s="38">
        <f>SUM(F43:AA43)</f>
        <v>0</v>
      </c>
      <c r="F43" s="38"/>
      <c r="G43" s="99"/>
      <c r="H43" s="99"/>
      <c r="I43" s="99"/>
      <c r="J43" s="99"/>
      <c r="K43" s="99"/>
      <c r="L43" s="99"/>
      <c r="M43" s="99"/>
      <c r="N43" s="99"/>
      <c r="O43" s="99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15">
      <c r="A44" s="28"/>
      <c r="C44" s="30" t="s">
        <v>329</v>
      </c>
      <c r="E44" s="38">
        <f>SUM(F44:AA44)</f>
        <v>18750</v>
      </c>
      <c r="F44" s="38"/>
      <c r="G44" s="99"/>
      <c r="H44" s="99"/>
      <c r="I44" s="99"/>
      <c r="J44" s="99"/>
      <c r="K44" s="99"/>
      <c r="L44" s="99"/>
      <c r="M44" s="99"/>
      <c r="N44" s="99"/>
      <c r="O44" s="99"/>
      <c r="P44" s="47">
        <v>18750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15">
      <c r="A45" s="28"/>
      <c r="C45" s="30" t="s">
        <v>330</v>
      </c>
      <c r="E45" s="38">
        <f>SUM(F45:AA45)</f>
        <v>268.60000000000002</v>
      </c>
      <c r="F45" s="38"/>
      <c r="G45" s="99"/>
      <c r="H45" s="99"/>
      <c r="I45" s="99"/>
      <c r="J45" s="99"/>
      <c r="K45" s="99">
        <v>268.60000000000002</v>
      </c>
      <c r="L45" s="99"/>
      <c r="M45" s="99"/>
      <c r="N45" s="99"/>
      <c r="O45" s="99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x14ac:dyDescent="0.15">
      <c r="A46" s="28"/>
      <c r="B46" s="28" t="s">
        <v>331</v>
      </c>
      <c r="E46" s="38"/>
      <c r="F46" s="30"/>
      <c r="G46" s="30"/>
      <c r="H46" s="30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x14ac:dyDescent="0.15">
      <c r="A47" s="28"/>
      <c r="C47" s="30" t="s">
        <v>332</v>
      </c>
      <c r="E47" s="38">
        <f>SUM(F47:AA47)</f>
        <v>118987.88</v>
      </c>
      <c r="F47" s="38"/>
      <c r="G47" s="99"/>
      <c r="H47" s="99"/>
      <c r="I47" s="99"/>
      <c r="J47" s="47">
        <v>2550</v>
      </c>
      <c r="K47" s="47"/>
      <c r="L47" s="47">
        <v>18270</v>
      </c>
      <c r="M47" s="47">
        <v>13770</v>
      </c>
      <c r="N47" s="47">
        <v>13770</v>
      </c>
      <c r="O47" s="47">
        <v>13794.38</v>
      </c>
      <c r="P47" s="47">
        <v>14970</v>
      </c>
      <c r="Q47" s="47">
        <f>18980</f>
        <v>18980</v>
      </c>
      <c r="R47" s="47">
        <v>13673.5</v>
      </c>
      <c r="S47" s="47">
        <v>9210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x14ac:dyDescent="0.15">
      <c r="A48" s="28"/>
      <c r="E48" s="38">
        <f>SUM(F48:AA48)</f>
        <v>11712.5</v>
      </c>
      <c r="F48" s="30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>
        <v>11712.5</v>
      </c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x14ac:dyDescent="0.15">
      <c r="A49" s="28"/>
      <c r="C49" s="30" t="s">
        <v>333</v>
      </c>
      <c r="E49" s="39">
        <f>SUM(F49:AA49)</f>
        <v>1423.75</v>
      </c>
      <c r="F49" s="38"/>
      <c r="G49" s="99"/>
      <c r="H49" s="99"/>
      <c r="I49" s="99"/>
      <c r="J49" s="99">
        <v>200</v>
      </c>
      <c r="K49" s="99">
        <v>380</v>
      </c>
      <c r="L49" s="99">
        <v>90</v>
      </c>
      <c r="M49" s="99">
        <f>112.5+101.25</f>
        <v>213.75</v>
      </c>
      <c r="N49" s="99"/>
      <c r="O49" s="47"/>
      <c r="P49" s="47">
        <f>427.5+112.5</f>
        <v>540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x14ac:dyDescent="0.15">
      <c r="A50" s="28"/>
      <c r="C50" s="28" t="s">
        <v>334</v>
      </c>
      <c r="E50" s="38">
        <f>SUM(E47:E49)</f>
        <v>132124.13</v>
      </c>
      <c r="F50" s="38"/>
      <c r="G50" s="99"/>
      <c r="H50" s="99"/>
      <c r="I50" s="99"/>
      <c r="J50" s="99"/>
      <c r="K50" s="99"/>
      <c r="L50" s="99"/>
      <c r="M50" s="99"/>
      <c r="N50" s="99"/>
      <c r="O50" s="99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x14ac:dyDescent="0.15">
      <c r="A51" s="28"/>
      <c r="B51" s="28" t="s">
        <v>335</v>
      </c>
      <c r="E51" s="38">
        <f>SUM(F51:AA51)</f>
        <v>0</v>
      </c>
      <c r="F51" s="38"/>
      <c r="G51" s="99"/>
      <c r="H51" s="99"/>
      <c r="I51" s="99"/>
      <c r="J51" s="99"/>
      <c r="K51" s="99"/>
      <c r="L51" s="99"/>
      <c r="M51" s="99"/>
      <c r="N51" s="99"/>
      <c r="O51" s="99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x14ac:dyDescent="0.15">
      <c r="A52" s="28"/>
      <c r="C52" s="30" t="s">
        <v>336</v>
      </c>
      <c r="E52" s="38">
        <f>SUM(F52:AA52)</f>
        <v>67653.86</v>
      </c>
      <c r="F52" s="38"/>
      <c r="G52" s="99"/>
      <c r="H52" s="99"/>
      <c r="I52" s="99"/>
      <c r="J52" s="99"/>
      <c r="K52" s="99"/>
      <c r="L52" s="99"/>
      <c r="M52" s="99">
        <v>1358.34</v>
      </c>
      <c r="N52" s="99"/>
      <c r="O52" s="99"/>
      <c r="P52" s="47">
        <f>4767.76+56305</f>
        <v>61072.76</v>
      </c>
      <c r="Q52" s="47">
        <v>5222.76</v>
      </c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x14ac:dyDescent="0.15">
      <c r="A53" s="28"/>
      <c r="B53" s="28" t="s">
        <v>337</v>
      </c>
      <c r="E53" s="38">
        <f>SUM(F53:AA53)</f>
        <v>0</v>
      </c>
      <c r="F53" s="38"/>
      <c r="G53" s="99"/>
      <c r="H53" s="99"/>
      <c r="I53" s="99"/>
      <c r="J53" s="99"/>
      <c r="K53" s="99"/>
      <c r="L53" s="99"/>
      <c r="M53" s="99"/>
      <c r="N53" s="99"/>
      <c r="O53" s="99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x14ac:dyDescent="0.15">
      <c r="A54" s="28"/>
      <c r="C54" s="30" t="s">
        <v>338</v>
      </c>
      <c r="E54" s="38">
        <f>SUM(F54:AA54)</f>
        <v>379434</v>
      </c>
      <c r="F54" s="38"/>
      <c r="G54" s="99"/>
      <c r="H54" s="99"/>
      <c r="I54" s="99"/>
      <c r="J54" s="99"/>
      <c r="K54" s="99"/>
      <c r="L54" s="99"/>
      <c r="M54" s="99"/>
      <c r="N54" s="99"/>
      <c r="O54" s="99"/>
      <c r="P54" s="47">
        <v>379434</v>
      </c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x14ac:dyDescent="0.15">
      <c r="A55" s="28"/>
      <c r="E55" s="38">
        <f>SUM(F55:AA55)</f>
        <v>0</v>
      </c>
      <c r="F55" s="38"/>
      <c r="G55" s="99"/>
      <c r="H55" s="99"/>
      <c r="I55" s="99"/>
      <c r="J55" s="99"/>
      <c r="K55" s="99"/>
      <c r="L55" s="99"/>
      <c r="M55" s="99"/>
      <c r="N55" s="99"/>
      <c r="O55" s="99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x14ac:dyDescent="0.15">
      <c r="E56" s="39">
        <f>SUM(P56:AA56)</f>
        <v>0</v>
      </c>
      <c r="F56" s="39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47"/>
    </row>
    <row r="57" spans="1:29" x14ac:dyDescent="0.15">
      <c r="A57" s="28" t="s">
        <v>339</v>
      </c>
      <c r="E57" s="58">
        <f>+E26+E28+E31+E33+E41+E44+E50+E52+E54+E45+E29+E34</f>
        <v>3352468.69</v>
      </c>
      <c r="F57" s="56"/>
      <c r="G57" s="102">
        <f>SUM(G23:G55)</f>
        <v>6000</v>
      </c>
      <c r="H57" s="102">
        <f>SUM(H23:H55)</f>
        <v>0</v>
      </c>
      <c r="I57" s="102">
        <f>SUM(I23:I55)</f>
        <v>520</v>
      </c>
      <c r="J57" s="102">
        <f>SUM(J23:J55)</f>
        <v>668774.15</v>
      </c>
      <c r="K57" s="102">
        <f t="shared" ref="K57:AB57" si="2">SUM(K24:K55)</f>
        <v>2322.9700000000003</v>
      </c>
      <c r="L57" s="102">
        <f t="shared" si="2"/>
        <v>593928.12</v>
      </c>
      <c r="M57" s="102">
        <f t="shared" si="2"/>
        <v>625671.04999999993</v>
      </c>
      <c r="N57" s="102">
        <f t="shared" si="2"/>
        <v>368417.08</v>
      </c>
      <c r="O57" s="102">
        <f t="shared" si="2"/>
        <v>352681.07</v>
      </c>
      <c r="P57" s="102">
        <f t="shared" si="2"/>
        <v>510337.16000000003</v>
      </c>
      <c r="Q57" s="102">
        <f t="shared" si="2"/>
        <v>95652.409999999989</v>
      </c>
      <c r="R57" s="102">
        <f t="shared" si="2"/>
        <v>55942.2</v>
      </c>
      <c r="S57" s="102">
        <f t="shared" si="2"/>
        <v>46523.8</v>
      </c>
      <c r="T57" s="102">
        <f t="shared" si="2"/>
        <v>0</v>
      </c>
      <c r="U57" s="102">
        <f t="shared" si="2"/>
        <v>0</v>
      </c>
      <c r="V57" s="102">
        <f t="shared" si="2"/>
        <v>0</v>
      </c>
      <c r="W57" s="102">
        <f t="shared" si="2"/>
        <v>0</v>
      </c>
      <c r="X57" s="102">
        <f t="shared" si="2"/>
        <v>0</v>
      </c>
      <c r="Y57" s="102">
        <f t="shared" si="2"/>
        <v>0</v>
      </c>
      <c r="Z57" s="102">
        <f t="shared" si="2"/>
        <v>0</v>
      </c>
      <c r="AA57" s="102">
        <f t="shared" si="2"/>
        <v>0</v>
      </c>
      <c r="AB57" s="102">
        <f t="shared" si="2"/>
        <v>25698.68</v>
      </c>
      <c r="AC57" s="64"/>
    </row>
    <row r="58" spans="1:29" x14ac:dyDescent="0.15">
      <c r="A58" s="28"/>
      <c r="E58" s="38">
        <f>SUM(P58:AA58)</f>
        <v>0</v>
      </c>
      <c r="F58" s="38"/>
      <c r="G58" s="99"/>
      <c r="H58" s="99"/>
      <c r="I58" s="99"/>
      <c r="J58" s="99"/>
      <c r="K58" s="99"/>
      <c r="L58" s="99"/>
      <c r="M58" s="99"/>
      <c r="N58" s="99"/>
      <c r="O58" s="99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x14ac:dyDescent="0.15">
      <c r="E59" s="37"/>
      <c r="F59" s="40"/>
      <c r="G59" s="103"/>
      <c r="H59" s="103"/>
      <c r="I59" s="99"/>
      <c r="J59" s="99"/>
      <c r="K59" s="99"/>
      <c r="L59" s="99"/>
      <c r="M59" s="99"/>
      <c r="N59" s="99"/>
      <c r="O59" s="99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x14ac:dyDescent="0.15">
      <c r="E60" s="37"/>
      <c r="F60" s="40"/>
      <c r="G60" s="103"/>
      <c r="H60" s="103"/>
      <c r="I60" s="99"/>
      <c r="J60" s="99"/>
      <c r="K60" s="99"/>
      <c r="L60" s="99"/>
      <c r="M60" s="99"/>
      <c r="N60" s="99"/>
      <c r="O60" s="99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x14ac:dyDescent="0.15">
      <c r="E61" s="62"/>
      <c r="F61" s="40"/>
      <c r="G61" s="103"/>
      <c r="H61" s="103"/>
      <c r="I61" s="99"/>
      <c r="J61" s="99"/>
      <c r="K61" s="99"/>
      <c r="L61" s="99"/>
      <c r="M61" s="99"/>
      <c r="N61" s="99"/>
      <c r="O61" s="99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47"/>
    </row>
    <row r="62" spans="1:29" ht="14" thickBot="1" x14ac:dyDescent="0.2">
      <c r="A62" s="28" t="s">
        <v>340</v>
      </c>
      <c r="E62" s="63">
        <f>+E8+E17+E20-E57</f>
        <v>0</v>
      </c>
      <c r="F62" s="40"/>
      <c r="G62" s="103"/>
      <c r="H62" s="103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65"/>
      <c r="AC62" s="47"/>
    </row>
    <row r="63" spans="1:29" ht="14" thickTop="1" x14ac:dyDescent="0.15">
      <c r="E63" s="34" t="e">
        <f>+#REF!</f>
        <v>#REF!</v>
      </c>
      <c r="F63" s="34"/>
      <c r="I63" s="49"/>
      <c r="J63" s="49"/>
      <c r="K63" s="49"/>
      <c r="L63" s="49"/>
      <c r="M63" s="49"/>
      <c r="N63" s="49"/>
      <c r="O63" s="49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x14ac:dyDescent="0.15">
      <c r="A64" s="28"/>
      <c r="E64" s="43" t="e">
        <f>+E62-E63</f>
        <v>#REF!</v>
      </c>
      <c r="F64" s="43"/>
      <c r="G64" s="44"/>
      <c r="H64" s="44"/>
      <c r="I64" s="66"/>
      <c r="J64" s="66"/>
      <c r="K64" s="66"/>
      <c r="L64" s="66"/>
      <c r="M64" s="66"/>
      <c r="N64" s="66"/>
      <c r="O64" s="66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4:29" x14ac:dyDescent="0.15">
      <c r="E65" s="43"/>
      <c r="F65" s="43"/>
      <c r="G65" s="44"/>
      <c r="H65" s="44"/>
      <c r="I65" s="66"/>
      <c r="J65" s="66"/>
      <c r="K65" s="66"/>
      <c r="L65" s="66"/>
      <c r="M65" s="66"/>
      <c r="N65" s="66"/>
      <c r="O65" s="66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4:29" x14ac:dyDescent="0.15">
      <c r="E66" s="44"/>
      <c r="F66" s="44"/>
      <c r="G66" s="44"/>
      <c r="H66" s="44"/>
      <c r="I66" s="66"/>
      <c r="J66" s="66"/>
      <c r="K66" s="66"/>
      <c r="L66" s="66"/>
      <c r="M66" s="66"/>
      <c r="N66" s="66"/>
      <c r="O66" s="66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4:29" x14ac:dyDescent="0.15"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75" spans="4:29" x14ac:dyDescent="0.15">
      <c r="D75" s="36">
        <f>3368490.16-3374897.76</f>
        <v>-6407.5999999996275</v>
      </c>
    </row>
  </sheetData>
  <mergeCells count="4">
    <mergeCell ref="M4:AB4"/>
    <mergeCell ref="A1:E1"/>
    <mergeCell ref="A2:E2"/>
    <mergeCell ref="A3:E3"/>
  </mergeCells>
  <pageMargins left="0" right="0" top="0.75" bottom="0.75" header="0.3" footer="0.3"/>
  <pageSetup scale="52" orientation="landscape" r:id="rId1"/>
  <headerFooter>
    <oddFooter>&amp;CFor 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Income Statement</vt:lpstr>
      <vt:lpstr>Variance</vt:lpstr>
      <vt:lpstr>Legal collecttions exp</vt:lpstr>
      <vt:lpstr> Budget FYE 2015 &amp; Budget</vt:lpstr>
      <vt:lpstr>Environmental Reserve</vt:lpstr>
      <vt:lpstr>Dues Per Unit</vt:lpstr>
      <vt:lpstr>Capital Reserve</vt:lpstr>
      <vt:lpstr>Renovation Res Phs I</vt:lpstr>
      <vt:lpstr>Sheet2</vt:lpstr>
      <vt:lpstr>Sheet3</vt:lpstr>
      <vt:lpstr>Renovation Res Phs II (2)</vt:lpstr>
      <vt:lpstr>Prepaid Exp</vt:lpstr>
      <vt:lpstr>Cash Flow</vt:lpstr>
      <vt:lpstr>Snow Removal Dues</vt:lpstr>
      <vt:lpstr>' Budget FYE 2015 &amp; Budget'!Print_Area</vt:lpstr>
      <vt:lpstr>'Cash Flow'!Print_Area</vt:lpstr>
      <vt:lpstr>'Dues Per Unit'!Print_Area</vt:lpstr>
      <vt:lpstr>'Environmental Reserve'!Print_Area</vt:lpstr>
      <vt:lpstr>'Income Statement'!Print_Area</vt:lpstr>
      <vt:lpstr>'Legal collecttions exp'!Print_Area</vt:lpstr>
      <vt:lpstr>'Renovation Res Phs I'!Print_Area</vt:lpstr>
      <vt:lpstr>'Renovation Res Phs II (2)'!Print_Area</vt:lpstr>
      <vt:lpstr>Variance!Print_Area</vt:lpstr>
      <vt:lpstr>' Budget FYE 2015 &amp; Budget'!Print_Titles</vt:lpstr>
      <vt:lpstr>'Cash Flow'!Print_Titles</vt:lpstr>
      <vt:lpstr>'Dues Per Unit'!Print_Titles</vt:lpstr>
      <vt:lpstr>'Environmental Reserve'!Print_Titles</vt:lpstr>
      <vt:lpstr>'Income Statement'!Print_Titles</vt:lpstr>
      <vt:lpstr>Variance!Print_Titles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</dc:creator>
  <cp:keywords/>
  <dc:description/>
  <cp:lastModifiedBy>Microsoft Office User</cp:lastModifiedBy>
  <cp:revision/>
  <dcterms:created xsi:type="dcterms:W3CDTF">2012-02-01T15:06:33Z</dcterms:created>
  <dcterms:modified xsi:type="dcterms:W3CDTF">2022-08-09T22:39:45Z</dcterms:modified>
  <cp:category/>
  <cp:contentStatus/>
</cp:coreProperties>
</file>